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4" activeTab="12"/>
  </bookViews>
  <sheets>
    <sheet name="DCI_seznam" sheetId="1" r:id="rId1"/>
    <sheet name="DCI_I.st-ko" sheetId="2" r:id="rId2"/>
    <sheet name="DCI_II.st" sheetId="3" r:id="rId3"/>
    <sheet name="DCI_III.st" sheetId="4" r:id="rId4"/>
    <sheet name="DCI_U &quot;B&quot;" sheetId="5" r:id="rId5"/>
    <sheet name="DCI_U &quot;C&quot;" sheetId="6" r:id="rId6"/>
    <sheet name="DCI_čt" sheetId="7" r:id="rId7"/>
    <sheet name="DKY_seznam" sheetId="8" r:id="rId8"/>
    <sheet name="DKY_I.st-ko" sheetId="9" r:id="rId9"/>
    <sheet name="DKY_II.st" sheetId="10" r:id="rId10"/>
    <sheet name="DKY_III.st" sheetId="11" r:id="rId11"/>
    <sheet name="DKY_U &quot;B&quot;" sheetId="12" r:id="rId12"/>
    <sheet name="DKY_U &quot;C&quot;" sheetId="13" r:id="rId13"/>
    <sheet name="DKY_čt" sheetId="14" r:id="rId14"/>
  </sheets>
  <externalReferences>
    <externalReference r:id="rId17"/>
    <externalReference r:id="rId18"/>
  </externalReferences>
  <definedNames>
    <definedName name="dadaD">#REF!</definedName>
    <definedName name="hjk">#REF!</definedName>
    <definedName name="IPC_Member">#REF!</definedName>
    <definedName name="jun">#REF!</definedName>
    <definedName name="LastUpdate">#REF!</definedName>
    <definedName name="_xlnm.Print_Area" localSheetId="6">'DCI_čt'!$A$1:$H$153</definedName>
    <definedName name="_xlnm.Print_Area" localSheetId="1">'DCI_I.st-ko'!$A$1:$H$264</definedName>
    <definedName name="_xlnm.Print_Area" localSheetId="2">'DCI_II.st'!$A$1:$Z$90</definedName>
    <definedName name="_xlnm.Print_Area" localSheetId="3">'DCI_III.st'!$A$1:$H$34</definedName>
    <definedName name="_xlnm.Print_Area" localSheetId="0">'DCI_seznam'!$A$1:$F$293</definedName>
    <definedName name="_xlnm.Print_Area" localSheetId="5">'DCI_U "C"'!$A$1:$H$159</definedName>
    <definedName name="_xlnm.Print_Area" localSheetId="13">'DKY_čt'!$A$1:$H$67</definedName>
    <definedName name="_xlnm.Print_Area" localSheetId="8">'DKY_I.st-ko'!$A$1:$H$132</definedName>
    <definedName name="_xlnm.Print_Area" localSheetId="9">'DKY_II.st'!$A$1:$Z$48</definedName>
    <definedName name="_xlnm.Print_Area" localSheetId="10">'DKY_III.st'!$A$1:$H$34</definedName>
    <definedName name="_xlnm.Print_Area" localSheetId="7">'DKY_seznam'!$A$1:$F$293</definedName>
    <definedName name="_xlnm.Print_Area" localSheetId="12">'DKY_U "C"'!$A$1:$H$318</definedName>
    <definedName name="ReportName">#REF!</definedName>
    <definedName name="SDSA">#REF!</definedName>
    <definedName name="Termin">#REF!</definedName>
  </definedNames>
  <calcPr calcMode="manual" fullCalcOnLoad="1"/>
</workbook>
</file>

<file path=xl/sharedStrings.xml><?xml version="1.0" encoding="utf-8"?>
<sst xmlns="http://schemas.openxmlformats.org/spreadsheetml/2006/main" count="6444" uniqueCount="857">
  <si>
    <t>Prezenční  listina</t>
  </si>
  <si>
    <t>Sč</t>
  </si>
  <si>
    <t>Jméno</t>
  </si>
  <si>
    <t>Oddíl - klub</t>
  </si>
  <si>
    <t>dat.nar</t>
  </si>
  <si>
    <t>Ž</t>
  </si>
  <si>
    <t>Stránka 1</t>
  </si>
  <si>
    <t>Stránka 2</t>
  </si>
  <si>
    <t>Skupina A</t>
  </si>
  <si>
    <t>hr.č.</t>
  </si>
  <si>
    <t>Jméno / oddíl</t>
  </si>
  <si>
    <t>Sety</t>
  </si>
  <si>
    <t>Body</t>
  </si>
  <si>
    <t>6</t>
  </si>
  <si>
    <t>7</t>
  </si>
  <si>
    <t>9</t>
  </si>
  <si>
    <t>BTM</t>
  </si>
  <si>
    <t>8</t>
  </si>
  <si>
    <t>-7</t>
  </si>
  <si>
    <t>5</t>
  </si>
  <si>
    <t>-9</t>
  </si>
  <si>
    <t>10</t>
  </si>
  <si>
    <t>-2</t>
  </si>
  <si>
    <t>Skupina B</t>
  </si>
  <si>
    <t>Poř.</t>
  </si>
  <si>
    <t>3</t>
  </si>
  <si>
    <t>-5</t>
  </si>
  <si>
    <t>1</t>
  </si>
  <si>
    <t>Skupina C</t>
  </si>
  <si>
    <t>-10</t>
  </si>
  <si>
    <t>-3</t>
  </si>
  <si>
    <t>4</t>
  </si>
  <si>
    <t>Skupina D</t>
  </si>
  <si>
    <t>2</t>
  </si>
  <si>
    <t>Ševčíková Markéta</t>
  </si>
  <si>
    <t>3:0 (2,11,3)</t>
  </si>
  <si>
    <t>3:1 (8,-9,13,11)</t>
  </si>
  <si>
    <t>Blechová Barbora</t>
  </si>
  <si>
    <t>3:2 (-3,-9,1,2,9)</t>
  </si>
  <si>
    <t>3:1 (5,7,-10,4)</t>
  </si>
  <si>
    <t>Tušlová Veronika</t>
  </si>
  <si>
    <t>3:2 (-8,-8,5,7,3)</t>
  </si>
  <si>
    <t>Petrovová Nikita</t>
  </si>
  <si>
    <t>3:1 (-8,13,8,12)</t>
  </si>
  <si>
    <t>3:0 (5,6,5)</t>
  </si>
  <si>
    <t>Dvouhra dorostenky - útěcha C</t>
  </si>
  <si>
    <t>Stánka 1</t>
  </si>
  <si>
    <t>Zelingrová Kamila</t>
  </si>
  <si>
    <t>3:0 (3,6,3)</t>
  </si>
  <si>
    <t>Daňová Barbora</t>
  </si>
  <si>
    <t>3:0 (3,9,7)</t>
  </si>
  <si>
    <t>3:0 (8,9,12)</t>
  </si>
  <si>
    <t xml:space="preserve">   </t>
  </si>
  <si>
    <t>Koblovská Dominika</t>
  </si>
  <si>
    <t>3:1 (3,8,-12,12)</t>
  </si>
  <si>
    <t>Matoušová Aneta</t>
  </si>
  <si>
    <t>3:1 (-6,3,10,6)</t>
  </si>
  <si>
    <t>3:1 (-9,7,3,6)</t>
  </si>
  <si>
    <t>3:1 (-6,4,7,7)</t>
  </si>
  <si>
    <t>3:1 (4,8,-10,5)</t>
  </si>
  <si>
    <t>Jemelíková Alice</t>
  </si>
  <si>
    <t>3:1 (7,-9,6,10)</t>
  </si>
  <si>
    <t>3:0 (6,7,3)</t>
  </si>
  <si>
    <t>Pěnkavová Kristýna</t>
  </si>
  <si>
    <t>3:0 (8,6,9)</t>
  </si>
  <si>
    <t>3:0 (5,7,8)</t>
  </si>
  <si>
    <t>Synková Kristýna</t>
  </si>
  <si>
    <t>3:0 (3,6,8)</t>
  </si>
  <si>
    <t xml:space="preserve">Synková Kristýna </t>
  </si>
  <si>
    <t>3:1 (16,-11,7,5)</t>
  </si>
  <si>
    <t>Hnátková Barbora</t>
  </si>
  <si>
    <t>3:0 (7,10,7)</t>
  </si>
  <si>
    <t>;</t>
  </si>
  <si>
    <t>Bodovací turnaj mládeže ČAST</t>
  </si>
  <si>
    <t>Čtyřhra dorostenky</t>
  </si>
  <si>
    <t>Hustopeče  21.11.2015</t>
  </si>
  <si>
    <t>Ševčíková Markéta (KST Hluk)</t>
  </si>
  <si>
    <t>Slezáková Stanislava (KST Hluk)</t>
  </si>
  <si>
    <t/>
  </si>
  <si>
    <t>bye</t>
  </si>
  <si>
    <t>Slezáková Stanislava</t>
  </si>
  <si>
    <t>Štricová Niamh (STC Slaný)</t>
  </si>
  <si>
    <t>Pěnkavová Kristýna (SKST Vlašim)</t>
  </si>
  <si>
    <t>Štricová Niamh</t>
  </si>
  <si>
    <t>3:0 (6,6,9)</t>
  </si>
  <si>
    <t>Šiblová Sára (SKST Hodonín)</t>
  </si>
  <si>
    <t>Šprtová Karolína (SKST Hodonín)</t>
  </si>
  <si>
    <t>3:1 (7,-3,9,6)</t>
  </si>
  <si>
    <t>Koblovská Dominika (TJ Ostrava KST)</t>
  </si>
  <si>
    <t>Synková Kristýna (TJ Sokol Děhylov)</t>
  </si>
  <si>
    <t>3:0 (7,2,5)</t>
  </si>
  <si>
    <t>Beranová Sára</t>
  </si>
  <si>
    <t>3:0 (7,8,11)</t>
  </si>
  <si>
    <t>Beranová Sára (SKST Vlašim)</t>
  </si>
  <si>
    <t>Zelingrová Kamila (SKST Vlašim)</t>
  </si>
  <si>
    <t>Štěpánová Gabriela (SKST Baník Havířov)</t>
  </si>
  <si>
    <t>Pytlíková Tereza (SKST Vlašim)</t>
  </si>
  <si>
    <t>Štěpánová Gabriela</t>
  </si>
  <si>
    <t>3:0 (3,3,9)</t>
  </si>
  <si>
    <t>Pytlíková Tereza</t>
  </si>
  <si>
    <t>Nováková Martina (TJ Sokol PP Hradec Králové 2)</t>
  </si>
  <si>
    <t>Matoušová Aneta (TJ Hrádek)</t>
  </si>
  <si>
    <t>Nováková Martina</t>
  </si>
  <si>
    <t>3:0 (9,5,6)</t>
  </si>
  <si>
    <t>Sedláčková Tereza (Sokol Chrudim)</t>
  </si>
  <si>
    <t>Daňová Barbora (SK Frýdlant nad Ostravicí)</t>
  </si>
  <si>
    <t>3:2 (-9,-2,5,9,7)</t>
  </si>
  <si>
    <t>Matějovská Anna</t>
  </si>
  <si>
    <t>Komárková Kateřina (SK Přerov)</t>
  </si>
  <si>
    <t>Polívková Barbora</t>
  </si>
  <si>
    <t>Véghová Viola (SK Přerov)</t>
  </si>
  <si>
    <t>Komárková Kateřina</t>
  </si>
  <si>
    <t>3:2 (10,-7,-11,9,8)</t>
  </si>
  <si>
    <t>Šimůnková Veronika (TJ Slavoj Praha)</t>
  </si>
  <si>
    <t>Véghová Viola</t>
  </si>
  <si>
    <t>Melicharová Iveta (TTC Elizza Praha)</t>
  </si>
  <si>
    <t>3:0 (6,4,8)</t>
  </si>
  <si>
    <t>3:0 (2,8,8)</t>
  </si>
  <si>
    <t>Matějovská Anna (SKST Vlašim)</t>
  </si>
  <si>
    <t>Polívková Barbora (SKST Vlašim)</t>
  </si>
  <si>
    <t>Petrovová Nikita (SKST Baník Havířov)</t>
  </si>
  <si>
    <t>Stránská Anna (Viktoria Radim)</t>
  </si>
  <si>
    <t>3:0 (12,1,11)</t>
  </si>
  <si>
    <t>Stránská Anna</t>
  </si>
  <si>
    <t>Bošinová Aneta</t>
  </si>
  <si>
    <t>Bošinová Aneta (SKST Vlašim)</t>
  </si>
  <si>
    <t>Lajdová Karolína</t>
  </si>
  <si>
    <t>Lajdová Karolína (SKST Vlašim)</t>
  </si>
  <si>
    <t>3:2 (7,-9,9,-6,8)</t>
  </si>
  <si>
    <t>Jemelíková Alice (SK Frýdlant nad Ostravicí)</t>
  </si>
  <si>
    <t>Kotková Daniela (SK Frýdlant nad Ostravicí)</t>
  </si>
  <si>
    <t>3:1 (-5,5,8,5)</t>
  </si>
  <si>
    <t>Hnátková Barbora (TJ Sokol Vsetín)</t>
  </si>
  <si>
    <t>Viktorínová Michaela</t>
  </si>
  <si>
    <t>Viktorínová Michaela (KST Zlín)</t>
  </si>
  <si>
    <t>3:0 (4,7,5)</t>
  </si>
  <si>
    <t>Cacková Tereza (TJ Lanškroun)</t>
  </si>
  <si>
    <t>Janoušová Petra (TJ Sokol Plzeň V.)</t>
  </si>
  <si>
    <t>3:0 (3,7,11)</t>
  </si>
  <si>
    <t>3:2 (-9,-4,8,10,10)</t>
  </si>
  <si>
    <t>Blechová Barbora (SKST Hodonín)</t>
  </si>
  <si>
    <t>Rusnáková Markéta</t>
  </si>
  <si>
    <t>Rusnáková Markéta (SK Frýdlant nad Ostravicí)</t>
  </si>
  <si>
    <t>Bošinová Veronika</t>
  </si>
  <si>
    <t>Kozáková Tereza (TJ Sokol PP Hradec Králové 2)</t>
  </si>
  <si>
    <t>Pěnkavová Dagmar</t>
  </si>
  <si>
    <t>Sazimová Terezie (TJ Sokol PP Hradec Králové 2)</t>
  </si>
  <si>
    <t>Kozáková Tereza</t>
  </si>
  <si>
    <t>Sazimová Terezie</t>
  </si>
  <si>
    <t>Melnyková Liana (TJ Sokol Plzeň V.)</t>
  </si>
  <si>
    <t>Cerovská Nikol (MSK Břeclav)</t>
  </si>
  <si>
    <t>Cimrmanová Eliška</t>
  </si>
  <si>
    <t>3:0 (6,5,3)</t>
  </si>
  <si>
    <t>Cimrmanová Eliška (TSM Kladno)</t>
  </si>
  <si>
    <t>Fronová Sabina</t>
  </si>
  <si>
    <t>Fronová Sabina (TJ Sokol Děhylov)</t>
  </si>
  <si>
    <t>3:0 (14,11,7)</t>
  </si>
  <si>
    <t>Hejzlarová Lucie (SK Dobré)</t>
  </si>
  <si>
    <t>Bačinová Pavla (SK Dobré)</t>
  </si>
  <si>
    <t>Allertová Sára</t>
  </si>
  <si>
    <t>3:0 (8,9,5)</t>
  </si>
  <si>
    <t>Allertová Sára (SKP Ústí nad Labem)</t>
  </si>
  <si>
    <t>Jirásková Tereza</t>
  </si>
  <si>
    <t>Jirásková Tereza (TJ Sokol PP Hradec Králové 2)</t>
  </si>
  <si>
    <t>3:0 (9,6,10)</t>
  </si>
  <si>
    <t>3:1 (7,8,-10,10)</t>
  </si>
  <si>
    <t>Bošinová Veronika (SKST Vlašim)</t>
  </si>
  <si>
    <t>Pěnkavová Dagmar (SKST Vlašim)</t>
  </si>
  <si>
    <t>Zelingrová Kamila  (SKST Vlašim)</t>
  </si>
  <si>
    <t>Melnyková Liana  (TJ Sokol Plzeň V.)</t>
  </si>
  <si>
    <t>Véghová Viola  (SK Přerov)</t>
  </si>
  <si>
    <t>3:2 (5,-9,-7,9,8)</t>
  </si>
  <si>
    <t>Vodáková Aneta  (TJ Sokol Klobouky u Brna)</t>
  </si>
  <si>
    <t>Melicharová Iveta</t>
  </si>
  <si>
    <t>Melicharová Iveta  (TTC Elizza Praha)</t>
  </si>
  <si>
    <t>3:2 (-9,5,5,-7,9)</t>
  </si>
  <si>
    <t>Daňová Barbora  (SK Frýdlant nad Ostravicí)</t>
  </si>
  <si>
    <t>Rozínková Monika  (SK Dobré)</t>
  </si>
  <si>
    <t>Rozínková Monika</t>
  </si>
  <si>
    <t>Matoušová Aneta  (TJ Hrádek)</t>
  </si>
  <si>
    <t>Lajdová Karolína  (SKST Vlašim)</t>
  </si>
  <si>
    <t>3:2 (-5,-8,12,9,6)</t>
  </si>
  <si>
    <t>Kotková Daniela  (SK Frýdlant nad Ostravicí)</t>
  </si>
  <si>
    <t>Kotková Daniela</t>
  </si>
  <si>
    <t>Fronová Sabina  (TJ Sokol Děhylov)</t>
  </si>
  <si>
    <t>3:0 (6,9,6)</t>
  </si>
  <si>
    <t>Koblovská Dominika  (TJ Ostrava KST)</t>
  </si>
  <si>
    <t>Jemelíková Alice  (SK Frýdlant nad Ostravicí)</t>
  </si>
  <si>
    <t>Cacková Tereza  (TJ Lanškroun)</t>
  </si>
  <si>
    <t>Cacková Tereza</t>
  </si>
  <si>
    <t>Cerovská Nikol  (MSK Břeclav)</t>
  </si>
  <si>
    <t>3:1 (8,-2,8,5)</t>
  </si>
  <si>
    <t>Pěnkavová Kristýna  (SKST Vlašim)</t>
  </si>
  <si>
    <t>Šimůnková Veronika  (TJ Slavoj Praha)</t>
  </si>
  <si>
    <t>3:1 (6,6,-9,7)</t>
  </si>
  <si>
    <t>Nováková Martina  (TJ Sokol PP Hradec Králové 2)</t>
  </si>
  <si>
    <t>Synková Kristýna  (TJ Sokol Děhylov)</t>
  </si>
  <si>
    <t>Komárková Kateřina  (SK Přerov)</t>
  </si>
  <si>
    <t>Janoušová Petra  (TJ Sokol Plzeň V.)</t>
  </si>
  <si>
    <t>3:2 (6,7,-9,-5,6)</t>
  </si>
  <si>
    <t>Hejzlarová Lucie  (SK Dobré)</t>
  </si>
  <si>
    <t>Hejzlarová Lucie</t>
  </si>
  <si>
    <t>Cimrmanová Eliška  (TSM Kladno)</t>
  </si>
  <si>
    <t>3:2 (7,-7,-10,8,11)</t>
  </si>
  <si>
    <t>Hnátková Barbora  (TJ Sokol Vsetín)</t>
  </si>
  <si>
    <t>Dvouhra dorostenky - III. stupeň</t>
  </si>
  <si>
    <t>Ševčíková Markéta  (KST Hluk)</t>
  </si>
  <si>
    <t>Pěnkavová Dagmar  (SKST Vlašim)</t>
  </si>
  <si>
    <t>Blechová Barbora  (SKST Hodonín)</t>
  </si>
  <si>
    <t>Beranová Sára  (SKST Vlašim)</t>
  </si>
  <si>
    <t>Tušlová Veronika  (MSK Břeclav)</t>
  </si>
  <si>
    <t>Kozáková Tereza  (TJ Sokol PP Hradec Králové 2)</t>
  </si>
  <si>
    <t>Ilčíková Anežka  (SKST Hodonín)</t>
  </si>
  <si>
    <t>Petrovová Nikita  (SKST Baník Havířov)</t>
  </si>
  <si>
    <t>Dvouhra dorostenky - II. stupeň</t>
  </si>
  <si>
    <t>KST Hluk</t>
  </si>
  <si>
    <t>KST Zlín</t>
  </si>
  <si>
    <t>3:2</t>
  </si>
  <si>
    <t>3:0</t>
  </si>
  <si>
    <t>9 : 2</t>
  </si>
  <si>
    <t>TJ Sokol PP Hradec Králové 2</t>
  </si>
  <si>
    <t>SKST Vlašim</t>
  </si>
  <si>
    <t>dorostenky</t>
  </si>
  <si>
    <t>7,</t>
  </si>
  <si>
    <t>6,</t>
  </si>
  <si>
    <t>-7,</t>
  </si>
  <si>
    <t>-9,</t>
  </si>
  <si>
    <t>2,</t>
  </si>
  <si>
    <t>9,</t>
  </si>
  <si>
    <t>2:3</t>
  </si>
  <si>
    <t>3:1</t>
  </si>
  <si>
    <t>8 : 4</t>
  </si>
  <si>
    <t>-6,</t>
  </si>
  <si>
    <t>8,</t>
  </si>
  <si>
    <t>17,</t>
  </si>
  <si>
    <t>0:3</t>
  </si>
  <si>
    <t>2 : 9</t>
  </si>
  <si>
    <t>-2,</t>
  </si>
  <si>
    <t>-8,</t>
  </si>
  <si>
    <t>-5,</t>
  </si>
  <si>
    <t>4,</t>
  </si>
  <si>
    <t>1:3</t>
  </si>
  <si>
    <t>4 : 8</t>
  </si>
  <si>
    <t>-17,</t>
  </si>
  <si>
    <t>5,</t>
  </si>
  <si>
    <t>-4,</t>
  </si>
  <si>
    <t>SKST Baník Havířov</t>
  </si>
  <si>
    <t>Šiblová Sára</t>
  </si>
  <si>
    <t>SKST Hodonín</t>
  </si>
  <si>
    <t>SK Frýdlant nad Ostravicí</t>
  </si>
  <si>
    <t>11,</t>
  </si>
  <si>
    <t>1,</t>
  </si>
  <si>
    <t>8 : 5</t>
  </si>
  <si>
    <t>-11,</t>
  </si>
  <si>
    <t>-1,</t>
  </si>
  <si>
    <t>3,</t>
  </si>
  <si>
    <t>12,</t>
  </si>
  <si>
    <t>5 : 8</t>
  </si>
  <si>
    <t>-10,</t>
  </si>
  <si>
    <t>-3,</t>
  </si>
  <si>
    <t>-12,</t>
  </si>
  <si>
    <t>10,</t>
  </si>
  <si>
    <t>6 : 5</t>
  </si>
  <si>
    <t>Ilčíková Anežka</t>
  </si>
  <si>
    <t>6 : 3</t>
  </si>
  <si>
    <t>7 : 4</t>
  </si>
  <si>
    <t>18,</t>
  </si>
  <si>
    <t>-18,</t>
  </si>
  <si>
    <t>MSK Břeclav</t>
  </si>
  <si>
    <t>9 : 3</t>
  </si>
  <si>
    <t>7 : 6</t>
  </si>
  <si>
    <t>4 : 7</t>
  </si>
  <si>
    <t>Dvouhra dorostenky - I. stupeň</t>
  </si>
  <si>
    <t>Štěpánová Gabriela  (SKST Baník Havířov)</t>
  </si>
  <si>
    <t>3:1 (7,-6,8,11)</t>
  </si>
  <si>
    <t>3:1 (7,6,-8,9)</t>
  </si>
  <si>
    <t>3:2 (14,-7,8,-9,11)</t>
  </si>
  <si>
    <t>3:0 (4,10,5)</t>
  </si>
  <si>
    <t>Viktorínová Michaela  (KST Zlín)</t>
  </si>
  <si>
    <t>Allertová Sára  (SKP Ústí nad Labem)</t>
  </si>
  <si>
    <t>3:1 (-7,11,9,9)</t>
  </si>
  <si>
    <t>3:0 (2,10,7)</t>
  </si>
  <si>
    <t>3:2 (-6,10,10,-7,9)</t>
  </si>
  <si>
    <t>Šiblová Sára  (SKST Hodonín)</t>
  </si>
  <si>
    <t>3:0 (9,4,7)</t>
  </si>
  <si>
    <t>3:1 (8,-17,10,6)</t>
  </si>
  <si>
    <t>TJ Sokol Vsetín</t>
  </si>
  <si>
    <t>Viktoria Radim</t>
  </si>
  <si>
    <t>SKP Ústí nad Labem</t>
  </si>
  <si>
    <t>TJ Ostrava KST</t>
  </si>
  <si>
    <t>Sedláčková Tereza</t>
  </si>
  <si>
    <t>Sokol Chrudim</t>
  </si>
  <si>
    <t>SK Dobré</t>
  </si>
  <si>
    <t>TJ Sokol Děhylov</t>
  </si>
  <si>
    <t>Janoušová Pavla</t>
  </si>
  <si>
    <t>TJ Sokol Plzeň V.</t>
  </si>
  <si>
    <t>STC Slaný</t>
  </si>
  <si>
    <t>Šimůnková Veronika</t>
  </si>
  <si>
    <t>TJ Slavoj Praha</t>
  </si>
  <si>
    <t>TJ Lanškroun</t>
  </si>
  <si>
    <t>TTC Elizza Praha</t>
  </si>
  <si>
    <t>TJ Hrádek</t>
  </si>
  <si>
    <t>Šprtová Karolína</t>
  </si>
  <si>
    <t>TSM Kladno</t>
  </si>
  <si>
    <t>SK Přerov</t>
  </si>
  <si>
    <t>Malíková Klára</t>
  </si>
  <si>
    <t>Melnyková Liana</t>
  </si>
  <si>
    <t>Janoušová Petra</t>
  </si>
  <si>
    <t>Cerovská Nikol</t>
  </si>
  <si>
    <t>Kuličová Aneta</t>
  </si>
  <si>
    <t>Nykodýmová Natálie</t>
  </si>
  <si>
    <t>TJ Jiskra Nový Bor</t>
  </si>
  <si>
    <t>Bačinová Pavla</t>
  </si>
  <si>
    <t>Vodáková Aneta</t>
  </si>
  <si>
    <t>TJ Sokol Klobouky u Brna</t>
  </si>
  <si>
    <t>Dvouhra dorostenky - útěcha B</t>
  </si>
  <si>
    <t>Stránská Anna  (Viktoria Radim)</t>
  </si>
  <si>
    <t>Bačinová Pavla  (SK Dobré)</t>
  </si>
  <si>
    <t>3:1 (12,-8,4,3)</t>
  </si>
  <si>
    <t>Sedláčková Tereza  (Sokol Chrudim)</t>
  </si>
  <si>
    <t>3:2 (-8,8,-10,5,6)</t>
  </si>
  <si>
    <t>Pytlíková Tereza  (SKST Vlašim)</t>
  </si>
  <si>
    <t>3:0 (5,5,12)</t>
  </si>
  <si>
    <t>3:0 (9,10,9)</t>
  </si>
  <si>
    <t>Šprtová Karolína  (SKST Hodonín)</t>
  </si>
  <si>
    <t>3:0 (8,5,10)</t>
  </si>
  <si>
    <t>Štricová Niamh  (STC Slaný)</t>
  </si>
  <si>
    <t>3:0 (1,4,4)</t>
  </si>
  <si>
    <t>3:1 (-6,6,5,7)</t>
  </si>
  <si>
    <t>TTC Litoměřice</t>
  </si>
  <si>
    <t>Hemer Matyáš</t>
  </si>
  <si>
    <t>KST Dolní Němčí</t>
  </si>
  <si>
    <t>Kučera Ondřej</t>
  </si>
  <si>
    <t>TJ Jevišovka</t>
  </si>
  <si>
    <t>Lisý Tomáš</t>
  </si>
  <si>
    <t>Exiteria KST Jeseník</t>
  </si>
  <si>
    <t>Dvořák Vítek</t>
  </si>
  <si>
    <t>TJ Nové Město na Moravě</t>
  </si>
  <si>
    <t>Nečas František</t>
  </si>
  <si>
    <t>Himal Tomáš</t>
  </si>
  <si>
    <t>Sokol Brno I</t>
  </si>
  <si>
    <t>Dočekal Petr</t>
  </si>
  <si>
    <t>Bruckner Tomáš</t>
  </si>
  <si>
    <t>Lorenc David</t>
  </si>
  <si>
    <t>TTC Koral Tišnov</t>
  </si>
  <si>
    <t>Cvrkal Rudolf</t>
  </si>
  <si>
    <t>Vaněk Petr</t>
  </si>
  <si>
    <t>Hofman Adrian</t>
  </si>
  <si>
    <t>Bohdanecký Jakub</t>
  </si>
  <si>
    <t>Macurák Michal</t>
  </si>
  <si>
    <t>Dobej Michal</t>
  </si>
  <si>
    <t>Kopecký Filip</t>
  </si>
  <si>
    <t>TJ Sokol Studená</t>
  </si>
  <si>
    <t>Mastný Tomáš</t>
  </si>
  <si>
    <t>Šindelář Radim</t>
  </si>
  <si>
    <t>Ondráček Jan</t>
  </si>
  <si>
    <t>SK DDM Kotlářka Praha</t>
  </si>
  <si>
    <t>Kubelka Martin</t>
  </si>
  <si>
    <t>DDM Soběslav</t>
  </si>
  <si>
    <t>Hložek Tomáš</t>
  </si>
  <si>
    <t>Daníček Adam</t>
  </si>
  <si>
    <t>Sokol Brno I.</t>
  </si>
  <si>
    <t>Nguyen Tuan Anh</t>
  </si>
  <si>
    <t>KST ZŠ Vyšší Brod</t>
  </si>
  <si>
    <t>Goldman David</t>
  </si>
  <si>
    <t>Kulveit Jonáš</t>
  </si>
  <si>
    <t>Koutník Vojtěch</t>
  </si>
  <si>
    <t>Branný Tomáš</t>
  </si>
  <si>
    <t>Znojmo</t>
  </si>
  <si>
    <t>Vybíral Matouš</t>
  </si>
  <si>
    <t>Marat Filip</t>
  </si>
  <si>
    <t>KST Orel ČB</t>
  </si>
  <si>
    <t>Zeman Lukáš</t>
  </si>
  <si>
    <t>KST Jeseník</t>
  </si>
  <si>
    <t>Veigl Lukáš</t>
  </si>
  <si>
    <t>TJ Sokol Chrudim</t>
  </si>
  <si>
    <t>Jirka Lukáš</t>
  </si>
  <si>
    <t>Jakubský Filip</t>
  </si>
  <si>
    <t>Pechman Petr</t>
  </si>
  <si>
    <t>Vacek Jan</t>
  </si>
  <si>
    <t>Šimůnek Ondřej</t>
  </si>
  <si>
    <t>Šimota Dominik</t>
  </si>
  <si>
    <t>Soukup Adam</t>
  </si>
  <si>
    <t>Harenčák Jakub</t>
  </si>
  <si>
    <t>Podrazil David</t>
  </si>
  <si>
    <t>BSK Malenovice</t>
  </si>
  <si>
    <t>Herec Lukáš</t>
  </si>
  <si>
    <t>STEN Havlíčkův Brod</t>
  </si>
  <si>
    <t>Jadrný Šimon</t>
  </si>
  <si>
    <t>Novotný Petr</t>
  </si>
  <si>
    <t>Demek Matyáš</t>
  </si>
  <si>
    <t>Bako Adam</t>
  </si>
  <si>
    <t>Vybíral Jakub</t>
  </si>
  <si>
    <t>TJ Sokol Ropice</t>
  </si>
  <si>
    <t>Rusnák Aleš</t>
  </si>
  <si>
    <t>Mynář Vojtěch</t>
  </si>
  <si>
    <t>TJ Baník Březenecká Chomutov</t>
  </si>
  <si>
    <t>Malý Michal</t>
  </si>
  <si>
    <t>TTC Brandýs nad Labem</t>
  </si>
  <si>
    <t>Chalupa Josef</t>
  </si>
  <si>
    <t>Jirásek Martin</t>
  </si>
  <si>
    <t>SKST Liberec</t>
  </si>
  <si>
    <t>Pařízek Martin</t>
  </si>
  <si>
    <t>Šejvl Jakub</t>
  </si>
  <si>
    <t>Procházka Jaroslav</t>
  </si>
  <si>
    <t>Šebl Jáchym</t>
  </si>
  <si>
    <t>TTC Sokol Znojmo</t>
  </si>
  <si>
    <t>Ondrovčák Radek</t>
  </si>
  <si>
    <t>Vladyka Jakub</t>
  </si>
  <si>
    <t>Přída Kryštof</t>
  </si>
  <si>
    <t>KST Blansko</t>
  </si>
  <si>
    <t>Zukal Adam</t>
  </si>
  <si>
    <t>Kubát Petr</t>
  </si>
  <si>
    <t>Nedbálek Michal</t>
  </si>
  <si>
    <t>Dvořák Petr</t>
  </si>
  <si>
    <t>Hušek Adam</t>
  </si>
  <si>
    <t>Oharek David</t>
  </si>
  <si>
    <t>Blinka Michal</t>
  </si>
  <si>
    <t>TTC MS Brno</t>
  </si>
  <si>
    <t>Šefr Filip</t>
  </si>
  <si>
    <t>Březovský Petr</t>
  </si>
  <si>
    <t>Skála Radek</t>
  </si>
  <si>
    <t>Vaculík Miloslav</t>
  </si>
  <si>
    <t>Olejník Petr</t>
  </si>
  <si>
    <t>KST Slezan Opava</t>
  </si>
  <si>
    <t>Vitásek Adam</t>
  </si>
  <si>
    <t>Škarban Jan</t>
  </si>
  <si>
    <t>Hýža Daniel</t>
  </si>
  <si>
    <t>Hýbl Jan</t>
  </si>
  <si>
    <t>Vybíral Filip</t>
  </si>
  <si>
    <t>Dufek Jakub</t>
  </si>
  <si>
    <t>Vévoda Ondřej</t>
  </si>
  <si>
    <t>Bako Radim</t>
  </si>
  <si>
    <t>AC Sparta Praha</t>
  </si>
  <si>
    <t>Černota Filip</t>
  </si>
  <si>
    <t>Pašek Dominik</t>
  </si>
  <si>
    <t>Fausek Matěj</t>
  </si>
  <si>
    <t>SK Pedagog ČB</t>
  </si>
  <si>
    <t>Kortus Filip</t>
  </si>
  <si>
    <t>Mokrejš Jan</t>
  </si>
  <si>
    <t>SK US Steinerova Choceň</t>
  </si>
  <si>
    <t>Stránský Matěj</t>
  </si>
  <si>
    <t>FK Kolín</t>
  </si>
  <si>
    <t>Čamr František</t>
  </si>
  <si>
    <t>Kotek Dominik</t>
  </si>
  <si>
    <t>Vlach Martin</t>
  </si>
  <si>
    <t>TJ Jiskra Havlíčkův Brod</t>
  </si>
  <si>
    <t>Bárta Daniel</t>
  </si>
  <si>
    <t>Plachta Jakub</t>
  </si>
  <si>
    <t>Skalský Ondřej</t>
  </si>
  <si>
    <t>Martinko Tomáš</t>
  </si>
  <si>
    <t>Krejcar Vilém</t>
  </si>
  <si>
    <t>Koubek Vojtěch</t>
  </si>
  <si>
    <t>Hromek Filip</t>
  </si>
  <si>
    <t>Górecki Jan</t>
  </si>
  <si>
    <t>Růžička Filip</t>
  </si>
  <si>
    <t>Marat Petr</t>
  </si>
  <si>
    <t>Šálený David</t>
  </si>
  <si>
    <t>Strejc Filip</t>
  </si>
  <si>
    <t>Koldas Tomáš</t>
  </si>
  <si>
    <t>Onderka František</t>
  </si>
  <si>
    <t>KST Cheb</t>
  </si>
  <si>
    <t>Žaloudík Jan</t>
  </si>
  <si>
    <t>Bělohlávek Dominik</t>
  </si>
  <si>
    <t>Průša David</t>
  </si>
  <si>
    <t>Lapčík Ondřej</t>
  </si>
  <si>
    <t>Hobl Lukáš</t>
  </si>
  <si>
    <t>Dusík Stanislav</t>
  </si>
  <si>
    <t>Mikolašík Michal</t>
  </si>
  <si>
    <t>Vašíček Jan</t>
  </si>
  <si>
    <t>Buben Vlastimil</t>
  </si>
  <si>
    <t>Rozínek Vojtěch</t>
  </si>
  <si>
    <t>dorostenci</t>
  </si>
  <si>
    <t>Mokrejš Jan  (TJ Sokol PP Hradec Králové 2)</t>
  </si>
  <si>
    <t>3:1 (9,-9,3,5)</t>
  </si>
  <si>
    <t>3:1 (8,-8,9,5)</t>
  </si>
  <si>
    <t>Kubelka Martin  (SK DDM Kotlářka Praha)</t>
  </si>
  <si>
    <t>3:0 (7,6,4)</t>
  </si>
  <si>
    <t>Hložek Tomáš  (DDM Soběslav)</t>
  </si>
  <si>
    <t>3:2 (-10,-8,3,5,8)</t>
  </si>
  <si>
    <t>Chalupa Josef  (TTC Brandýs nad Labem)</t>
  </si>
  <si>
    <t>3:1 (-3,10,8,8)</t>
  </si>
  <si>
    <t>Marat Filip  (TTC Elizza Praha)</t>
  </si>
  <si>
    <t>Hýža Daniel  (TSM Kladno)</t>
  </si>
  <si>
    <t>Dufek Jakub  (KST Zlín)</t>
  </si>
  <si>
    <t>3:1 (-10,11,12,8)</t>
  </si>
  <si>
    <t>3:1 (14,9,-9,6)</t>
  </si>
  <si>
    <t>Malý Michal  (TJ Baník Březenecká Chomutov)</t>
  </si>
  <si>
    <t>3:0 (2,6,6)</t>
  </si>
  <si>
    <t>Mastný Tomáš  (TJ Sokol Studená)</t>
  </si>
  <si>
    <t>3:0 (7,6,2)</t>
  </si>
  <si>
    <t>Koutník Vojtěch  (TJ Sokol Plzeň V.)</t>
  </si>
  <si>
    <t>Górecki Jan  (SKST Baník Havířov)</t>
  </si>
  <si>
    <t>Dvouhra dorostenci - I. stupeň</t>
  </si>
  <si>
    <t>4 : 9</t>
  </si>
  <si>
    <t>9 : 4</t>
  </si>
  <si>
    <t>7 : 7</t>
  </si>
  <si>
    <t>Skupina H</t>
  </si>
  <si>
    <t>7 : 3</t>
  </si>
  <si>
    <t>-4</t>
  </si>
  <si>
    <t>4 : 6</t>
  </si>
  <si>
    <t>Skupina G</t>
  </si>
  <si>
    <t>5 : 6</t>
  </si>
  <si>
    <t>0 : 9</t>
  </si>
  <si>
    <t>9 : 0</t>
  </si>
  <si>
    <t>Skupina F</t>
  </si>
  <si>
    <t>13,</t>
  </si>
  <si>
    <t>5 : 7</t>
  </si>
  <si>
    <t>-6</t>
  </si>
  <si>
    <t>8 : 3</t>
  </si>
  <si>
    <t>-13,</t>
  </si>
  <si>
    <t>11</t>
  </si>
  <si>
    <t>9 : 6</t>
  </si>
  <si>
    <t>-11</t>
  </si>
  <si>
    <t>3 : 9</t>
  </si>
  <si>
    <t>Skupina E</t>
  </si>
  <si>
    <t>-1</t>
  </si>
  <si>
    <t>9 : 5</t>
  </si>
  <si>
    <t>-14,</t>
  </si>
  <si>
    <t>-8</t>
  </si>
  <si>
    <t>14,</t>
  </si>
  <si>
    <t>7 : 8</t>
  </si>
  <si>
    <t>6 : 6</t>
  </si>
  <si>
    <t>9 : 1</t>
  </si>
  <si>
    <t>7 : 5</t>
  </si>
  <si>
    <t>Stránka 1/2</t>
  </si>
  <si>
    <t>Dvouhra dorostenci - II. stupeň</t>
  </si>
  <si>
    <t>3:1 (-6,10,5,7)</t>
  </si>
  <si>
    <t>Buben Vlastimil  (TJ Sokol PP Hradec Králové 2)</t>
  </si>
  <si>
    <t>16</t>
  </si>
  <si>
    <t xml:space="preserve">Buben Vlastimil </t>
  </si>
  <si>
    <t>3:0 (7,6,7)</t>
  </si>
  <si>
    <t>Bárta Daniel  (TJ Jiskra Havlíčkův Brod)</t>
  </si>
  <si>
    <t>15</t>
  </si>
  <si>
    <t>3:2 (8,-4,7,-5,10)</t>
  </si>
  <si>
    <t>Rozínek Vojtěch  (SKST Baník Havířov)</t>
  </si>
  <si>
    <t>14</t>
  </si>
  <si>
    <t>3:1 (-9,8,9,9)</t>
  </si>
  <si>
    <t>Lapčík Ondřej  (KST Zlín)</t>
  </si>
  <si>
    <t>13</t>
  </si>
  <si>
    <t>3:0 (8,10,6)</t>
  </si>
  <si>
    <t>Hobl Lukáš  (KST Cheb)</t>
  </si>
  <si>
    <t>12</t>
  </si>
  <si>
    <t>3:1 (10,12,-10,8)</t>
  </si>
  <si>
    <t>Hromek Filip  (SKST Hodonín)</t>
  </si>
  <si>
    <t>3:2 (5,8,-3,-9,9)</t>
  </si>
  <si>
    <t>Koldas Tomáš  (KST Zlín)</t>
  </si>
  <si>
    <t>3:0 (8,7,3)</t>
  </si>
  <si>
    <t>Mikolašík Michal  (SKST Baník Havířov)</t>
  </si>
  <si>
    <t>3:1 (6,9,-4,7)</t>
  </si>
  <si>
    <t>Šálený David  (SK DDM Kotlářka Praha)</t>
  </si>
  <si>
    <t>3:0 (7,9,9)</t>
  </si>
  <si>
    <t>Růžička Filip  (SKST Hodonín)</t>
  </si>
  <si>
    <t>3:2 (-8,8,6,-5,9)</t>
  </si>
  <si>
    <t>Onderka František  (TJ Ostrava KST)</t>
  </si>
  <si>
    <t>3:1 (8,-5,8,8)</t>
  </si>
  <si>
    <t>Žaloudík Jan  (KST Cheb)</t>
  </si>
  <si>
    <t>3:2 (4,-6,-8,10,3)</t>
  </si>
  <si>
    <t>Skála Radek  (TTC MS Brno)</t>
  </si>
  <si>
    <t>3:0 (4,9,7)</t>
  </si>
  <si>
    <t>Kortus Filip  (SK Pedagog ČB)</t>
  </si>
  <si>
    <t>Bělohlávek Dominik  (SK US Steinerova Choceň)</t>
  </si>
  <si>
    <t>Dvouhra dorostenci - III. stupeň</t>
  </si>
  <si>
    <t>3:1 (7,-7,5,3)</t>
  </si>
  <si>
    <t>Skalský Ondřej  (SK Přerov)</t>
  </si>
  <si>
    <t>3:2 (8,9,-5,-9,5)</t>
  </si>
  <si>
    <t>Vitásek Adam  (KST Slezan Opava)</t>
  </si>
  <si>
    <t>3:1 (5,-9,6,7)</t>
  </si>
  <si>
    <t>Šefr Filip  (TTC MS Brno)</t>
  </si>
  <si>
    <t>3:0 (5,7,5)</t>
  </si>
  <si>
    <t>Škarban Jan  (TJ Slavoj Praha)</t>
  </si>
  <si>
    <t>3:1 (-9,5,10,5)</t>
  </si>
  <si>
    <t>Hýbl Jan  (TJ Sokol PP Hradec Králové 2)</t>
  </si>
  <si>
    <t>3:0 (5,11,3)</t>
  </si>
  <si>
    <t>Podrazil David  (SKST Hodonín)</t>
  </si>
  <si>
    <t>3:0 (5,7,7)</t>
  </si>
  <si>
    <t>3:1 (3,9,-10,7)</t>
  </si>
  <si>
    <t>Plachta Jakub  (TJ Ostrava KST)</t>
  </si>
  <si>
    <t>3:0 (9,7,10)</t>
  </si>
  <si>
    <t>Pašek Dominik  (TJ Slavoj Praha)</t>
  </si>
  <si>
    <t>3:2 (-9,-9,11,4,8)</t>
  </si>
  <si>
    <t>Jakubský Filip  (TJ Sokol PP Hradec Králové 2)</t>
  </si>
  <si>
    <t>3:1 (4,2,-12,6)</t>
  </si>
  <si>
    <t>Zukal Adam  (KST Blansko)</t>
  </si>
  <si>
    <t>3:2 (11,-9,5,-9,9)</t>
  </si>
  <si>
    <t>Vybíral Filip  (TJ Lanškroun)</t>
  </si>
  <si>
    <t>3:1 (5,-9,4,4)</t>
  </si>
  <si>
    <t>3:2 (-3,7,11,-7,3)</t>
  </si>
  <si>
    <t>Olejník Petr  (SK Přerov)</t>
  </si>
  <si>
    <t>Dvořák Petr  (TTC Elizza Praha)</t>
  </si>
  <si>
    <t>Koubek Vojtěch  (TJ Sokol PP Hradec Králové 2)</t>
  </si>
  <si>
    <t>Dvouhra dorostenci - útěcha B</t>
  </si>
  <si>
    <t>3:0 (5,9,4)</t>
  </si>
  <si>
    <t>Stránka 3</t>
  </si>
  <si>
    <t>Dvouhra dorostenci - útěcha</t>
  </si>
  <si>
    <t>Vaculík Miloslav  (TTC MS Brno)</t>
  </si>
  <si>
    <t>3:2 (-4,8,7,-5,8)</t>
  </si>
  <si>
    <t>3:0 (7,5,6)</t>
  </si>
  <si>
    <t>Lorenc David  (SKST Hodonín)</t>
  </si>
  <si>
    <t>3:0 (7,12,7)</t>
  </si>
  <si>
    <t>Vaněk Petr  (TJ Slavoj Praha)</t>
  </si>
  <si>
    <t>3:1 (-10,4,9,10)</t>
  </si>
  <si>
    <t>Rusnák Aleš  (TJ Sokol Ropice)</t>
  </si>
  <si>
    <t>3:2 (5,-11,-8,7,10)</t>
  </si>
  <si>
    <t>Mynář Vojtěch  (TJ Lanškroun)</t>
  </si>
  <si>
    <t>3:0 (8,2,7)</t>
  </si>
  <si>
    <t>Herec Lukáš  (BSK Malenovice)</t>
  </si>
  <si>
    <t>3:0 (8,8,2)</t>
  </si>
  <si>
    <t>Daníček Adam  (TTC Elizza Praha)</t>
  </si>
  <si>
    <t>3:1 (8,13,-6,9)</t>
  </si>
  <si>
    <t>3:1 (8,3,-8,5)</t>
  </si>
  <si>
    <t>Himal Tomáš  (TJ Jevišovka)</t>
  </si>
  <si>
    <t>3:0 (8,7,8)</t>
  </si>
  <si>
    <t>Zeman Lukáš  (KST Orel ČB)</t>
  </si>
  <si>
    <t>3:1 (-9,6,10,11)</t>
  </si>
  <si>
    <t>Procházka Jaroslav  (KST ZŠ Vyšší Brod)</t>
  </si>
  <si>
    <t>3:0 (10,11,3)</t>
  </si>
  <si>
    <t>Bruckner Tomáš  (MSK Břeclav)</t>
  </si>
  <si>
    <t>3:1 (9,10,-12,7)</t>
  </si>
  <si>
    <t>3:1 (-5,8,9,11)</t>
  </si>
  <si>
    <t>Soukup Adam  (SK Přerov)</t>
  </si>
  <si>
    <t>3:2 (-12,-6,8,10,6)</t>
  </si>
  <si>
    <t>Hušek Adam  (TJ Sokol PP Hradec Králové 2)</t>
  </si>
  <si>
    <t>Oharek David  (KST Zlín)</t>
  </si>
  <si>
    <t>3:2 (4,-7,-9,9,8)</t>
  </si>
  <si>
    <t>3:1 (8,-4,4,6)</t>
  </si>
  <si>
    <t>Šimůnek Ondřej  (TJ Slavoj Praha)</t>
  </si>
  <si>
    <t>3:2 (-9,9,-5,2,8)</t>
  </si>
  <si>
    <t>Vybíral Matouš  (Znojmo)</t>
  </si>
  <si>
    <t>3:2 (-7,10,7,-7,8)</t>
  </si>
  <si>
    <t>Kopecký Filip  (TTC Litoměřice)</t>
  </si>
  <si>
    <t>3:1 (-9,3,9,9)</t>
  </si>
  <si>
    <t>3:1 (6,-6,2,5)</t>
  </si>
  <si>
    <t>Veigl Lukáš  (KST Jeseník)</t>
  </si>
  <si>
    <t>3:0 (2,5,2)</t>
  </si>
  <si>
    <t>Vybíral Jakub  (TJ Lanškroun)</t>
  </si>
  <si>
    <t>3:1 (7,-12,9,10)</t>
  </si>
  <si>
    <t>Šejvl Jakub  (TTC Brandýs nad Labem)</t>
  </si>
  <si>
    <t>3:0 (1,2,8)</t>
  </si>
  <si>
    <t>Ondráček Jan  (TJ Sokol Studená)</t>
  </si>
  <si>
    <t>3:0 (1,8,3)</t>
  </si>
  <si>
    <t>Dobej Michal  (STC Slaný)</t>
  </si>
  <si>
    <t>3:0 (7,7,9)</t>
  </si>
  <si>
    <t>Branný Tomáš  (SKST Baník Havířov)</t>
  </si>
  <si>
    <t>3:1 (10,5,-7,2)</t>
  </si>
  <si>
    <t>Jirka Lukáš  (TJ Sokol Chrudim)</t>
  </si>
  <si>
    <t>3:1 (9,3,-9,2)</t>
  </si>
  <si>
    <t>Cvrkal Rudolf  (TTC Koral Tišnov)</t>
  </si>
  <si>
    <t>Blinka Michal  (SKST Liberec)</t>
  </si>
  <si>
    <t>Dvouhra dorostenci - útěcha C</t>
  </si>
  <si>
    <t>Březovský Petr  (TTC Litoměřice)</t>
  </si>
  <si>
    <t>3:1 (10,-8,4,9)</t>
  </si>
  <si>
    <t>3:0 (7,9,4)</t>
  </si>
  <si>
    <t>Bako Adam  (TJ Lanškroun)</t>
  </si>
  <si>
    <t>3:2 (-4,7,-3,10,10)</t>
  </si>
  <si>
    <t>Šindelář Radim  (TJ Sokol Studená)</t>
  </si>
  <si>
    <t>3:0 (9,6,4)</t>
  </si>
  <si>
    <t>Pařízek Martin  (SKST Liberec)</t>
  </si>
  <si>
    <t>3:0 (9,6,9)</t>
  </si>
  <si>
    <t>Nguyen Tuan Anh  (Sokol Brno I.)</t>
  </si>
  <si>
    <t>3:0 (1,6,4)</t>
  </si>
  <si>
    <t>Lisý Tomáš  (TJ Jevišovka)</t>
  </si>
  <si>
    <t>3:1 (8,10,-5,1)</t>
  </si>
  <si>
    <t>3:0 (4,9,9)</t>
  </si>
  <si>
    <t>Harenčák Jakub  (KST ZŠ Vyšší Brod)</t>
  </si>
  <si>
    <t>3:2 (-6,5,-4,5,10)</t>
  </si>
  <si>
    <t>Bohdanecký Jakub  (TJ Sokol PP Hradec Králové 2)</t>
  </si>
  <si>
    <t>3:0 (9,7,7)</t>
  </si>
  <si>
    <t>Šebl Jáchym  (TJ Slavoj Praha)</t>
  </si>
  <si>
    <t>3:2 (5,9,-3,-10,8)</t>
  </si>
  <si>
    <t>Novotný Petr  (DDM Soběslav)</t>
  </si>
  <si>
    <t>3:0 (7,4,9)</t>
  </si>
  <si>
    <t>Přída Kryštof  (SK DDM Kotlářka Praha)</t>
  </si>
  <si>
    <t>3:0 (7,9,8)</t>
  </si>
  <si>
    <t>Vacek Jan  (MSK Břeclav)</t>
  </si>
  <si>
    <t>3:0 (9,6,8)</t>
  </si>
  <si>
    <t>Nedbálek Michal  (KST Zlín)</t>
  </si>
  <si>
    <t>3:2 (7,-2,-9,6,4)</t>
  </si>
  <si>
    <t>Kubát Petr  (SK DDM Kotlářka Praha)</t>
  </si>
  <si>
    <t>3:2 (-9,9,-10,4,9)</t>
  </si>
  <si>
    <t>Dočekal Petr  (Sokol Brno I)</t>
  </si>
  <si>
    <t>3:2 (6,9,-8,-7,9)</t>
  </si>
  <si>
    <t>Macurák Michal  (SKST Baník Havířov)</t>
  </si>
  <si>
    <t>3:2 (-4,11,-8,2,5)</t>
  </si>
  <si>
    <t>Kulveit Jonáš  (TJ Slavoj Praha)</t>
  </si>
  <si>
    <t>3:1 (-9,5,1,4)</t>
  </si>
  <si>
    <t>Jadrný Šimon  (STEN Havlíčkův Brod)</t>
  </si>
  <si>
    <t>3:0 (8,6,8)</t>
  </si>
  <si>
    <t>3:0 (5,8,8)</t>
  </si>
  <si>
    <t>Dvořák Vítek  (Exiteria KST Jeseník)</t>
  </si>
  <si>
    <t>3:2 (-8,5,-8,11,8)</t>
  </si>
  <si>
    <t>Goldman David  (KST ZŠ Vyšší Brod)</t>
  </si>
  <si>
    <t>3:1 (3,-11,9,2)</t>
  </si>
  <si>
    <t>3:2 (-9,5,6,-9,6)</t>
  </si>
  <si>
    <t>Jirásek Martin  (TJ Sokol PP Hradec Králové 2)</t>
  </si>
  <si>
    <t>Nečas František  (TJ Nové Město na Moravě)</t>
  </si>
  <si>
    <t>3:2 (-8,12,-2,10,10)</t>
  </si>
  <si>
    <t>Ondrovčák Radek  (TTC Sokol Znojmo)</t>
  </si>
  <si>
    <t>3:1 (-9,8,9,12)</t>
  </si>
  <si>
    <t>Vladyka Jakub  (TJ Sokol Plzeň V.)</t>
  </si>
  <si>
    <t>3:2 (-7,9,-9,6,7)</t>
  </si>
  <si>
    <t>Šimota Dominik  (DDM Soběslav)</t>
  </si>
  <si>
    <t>3:0 (12,8,7)</t>
  </si>
  <si>
    <t>Stránka 3/3</t>
  </si>
  <si>
    <t>Čtyřhra dorostenci</t>
  </si>
  <si>
    <t>Koubek Vojtěch (TJ Sokol PP Hradec Králové 2)</t>
  </si>
  <si>
    <t>Rozínek Vojtěch (SKST Baník Havířov)</t>
  </si>
  <si>
    <t>3:1 (5,-5,7,6)</t>
  </si>
  <si>
    <t>3:1 (10,10,-7,4)</t>
  </si>
  <si>
    <t>Dvořák Vítek (Exiteria KST Jeseník)</t>
  </si>
  <si>
    <t>Veigl Lukáš (KST Jeseník)</t>
  </si>
  <si>
    <t>3:1 (8,-8,7,9)</t>
  </si>
  <si>
    <t>Dočekal Petr (Sokol Brno I)</t>
  </si>
  <si>
    <t>Ondrovčák Radek (TTC Sokol Znojmo)</t>
  </si>
  <si>
    <t>3:2 (-8,7,-4,6,5)</t>
  </si>
  <si>
    <t>Koutník Vojtěch (TJ Sokol Plzeň V.)</t>
  </si>
  <si>
    <t>Vladyka Jakub (TJ Sokol Plzeň V.)</t>
  </si>
  <si>
    <t>3:0 (9,7,5)</t>
  </si>
  <si>
    <t>Vaněk Petr (TJ Slavoj Praha)</t>
  </si>
  <si>
    <t>Kulveit Jonáš (TJ Slavoj Praha)</t>
  </si>
  <si>
    <t>3:2 (9,5,-12,-8,12)</t>
  </si>
  <si>
    <t>Podrazil David (SKST Hodonín)</t>
  </si>
  <si>
    <t>Vaculík Miloslav (TTC MS Brno)</t>
  </si>
  <si>
    <t>3:2 (3,10,-11,-8,9)</t>
  </si>
  <si>
    <t>Goldman David (KST ZŠ Vyšší Brod)</t>
  </si>
  <si>
    <t>Harenčák Jakub (KST ZŠ Vyšší Brod)</t>
  </si>
  <si>
    <t>Šindelář Radim (TJ Sokol Studená)</t>
  </si>
  <si>
    <t>Ondráček Jan (TJ Sokol Studená)</t>
  </si>
  <si>
    <t>3:0 (6,2,7)</t>
  </si>
  <si>
    <t>3:0 (6,8,8)</t>
  </si>
  <si>
    <t>Kortus Filip (SK Pedagog ČB)</t>
  </si>
  <si>
    <t>Šálený David (SK DDM Kotlářka Praha)</t>
  </si>
  <si>
    <t>3:1 (-12,4,9,6)</t>
  </si>
  <si>
    <t>Herec Lukáš (BSK Malenovice)</t>
  </si>
  <si>
    <t>Vitásek Adam (KST Slezan Opava)</t>
  </si>
  <si>
    <t>3:2 (-9,5,9,-10,4)</t>
  </si>
  <si>
    <t>Daníček Adam (TTC Elizza Praha)</t>
  </si>
  <si>
    <t>Dvořák Petr (TTC Elizza Praha)</t>
  </si>
  <si>
    <t>3:0 (4,4,5)</t>
  </si>
  <si>
    <t>Jakubský Filip (TJ Sokol PP Hradec Králové 2)</t>
  </si>
  <si>
    <t>Mokrejš Jan (TJ Sokol PP Hradec Králové 2)</t>
  </si>
  <si>
    <t>3:1 (9,8,-8,5)</t>
  </si>
  <si>
    <t>Krejcar Vilém (SK DDM Kotlářka Praha)</t>
  </si>
  <si>
    <t>Vašíček Jan (TJ Ostrava KST)</t>
  </si>
  <si>
    <t>Čamr František (FK Kolín)</t>
  </si>
  <si>
    <t>Průša David (TTC Elizza Praha)</t>
  </si>
  <si>
    <t>3:1 (8,10,-6,6)</t>
  </si>
  <si>
    <t>3:1 (-9,4,7,7)</t>
  </si>
  <si>
    <t>Vlach Martin (SK Přerov)</t>
  </si>
  <si>
    <t>Skalský Ondřej (SK Přerov)</t>
  </si>
  <si>
    <t>3:1 (12,7,-6,2)</t>
  </si>
  <si>
    <t>Černota Filip (AC Sparta Praha)</t>
  </si>
  <si>
    <t>Růžička Filip (SKST Hodonín)</t>
  </si>
  <si>
    <t>3:1 (-9,2,6,6)</t>
  </si>
  <si>
    <t>Kopecký Filip (TTC Litoměřice)</t>
  </si>
  <si>
    <t>Malý Michal (TJ Baník Březenecká Chomutov)</t>
  </si>
  <si>
    <t>3:1 (7,-8,5,5)</t>
  </si>
  <si>
    <t>Bohdanecký Jakub (TJ Sokol PP Hradec Králové 2)</t>
  </si>
  <si>
    <t>Hýbl Jan (TJ Sokol PP Hradec Králové 2)</t>
  </si>
  <si>
    <t>3:0 (6,7,12)</t>
  </si>
  <si>
    <t>Blinka Michal (SKST Liberec)</t>
  </si>
  <si>
    <t>Vybíral Filip (TJ Lanškroun)</t>
  </si>
  <si>
    <t>3:1 (10,-6,4,3)</t>
  </si>
  <si>
    <t>Chalupa Josef (TTC Brandýs nad Labem)</t>
  </si>
  <si>
    <t>Šejvl Jakub (TTC Brandýs nad Labem)</t>
  </si>
  <si>
    <t>3:0 (6,10,3)</t>
  </si>
  <si>
    <t>Šimůnek Ondřej (TJ Slavoj Praha)</t>
  </si>
  <si>
    <t>Šebl Jáchym (TJ Slavoj Praha)</t>
  </si>
  <si>
    <t>3:0 (5,9,7)</t>
  </si>
  <si>
    <t>Mastný Tomáš (TJ Sokol Studená)</t>
  </si>
  <si>
    <t>Zeman Lukáš (KST Orel ČB)</t>
  </si>
  <si>
    <t>3:1 (-8,7,9,9)</t>
  </si>
  <si>
    <t>Březovský Petr (TTC Litoměřice)</t>
  </si>
  <si>
    <t>Žaloudík Jan (KST Cheb)</t>
  </si>
  <si>
    <t>3:0 (10,1,9)</t>
  </si>
  <si>
    <t>Skála Radek (TTC MS Brno)</t>
  </si>
  <si>
    <t>Onderka František (TJ Ostrava KST)</t>
  </si>
  <si>
    <t>3:2 (7,-7,9,-6,7)</t>
  </si>
  <si>
    <t>Nečas František (TJ Nové Město na Moravě)</t>
  </si>
  <si>
    <t>Cvrkal Rudolf (TTC Koral Tišnov)</t>
  </si>
  <si>
    <t>Strejc Filip (AC Sparta Praha)</t>
  </si>
  <si>
    <t>Lapčík Ondřej (KST Zlín)</t>
  </si>
  <si>
    <t>Stránka 2/3</t>
  </si>
  <si>
    <t>Koldas Tomáš (KST Zlín)</t>
  </si>
  <si>
    <t>Hobl Lukáš (KST Cheb)</t>
  </si>
  <si>
    <t>3:0 (4,5,4)</t>
  </si>
  <si>
    <t>3:1 (9,10,-8,10)</t>
  </si>
  <si>
    <t>Lisý Tomáš (TJ Jevišovka)</t>
  </si>
  <si>
    <t>Himal Tomáš (TJ Jevišovka)</t>
  </si>
  <si>
    <t>3:1 (-11,7,3,14)</t>
  </si>
  <si>
    <t>Kubelka Martin (SK DDM Kotlářka Praha)</t>
  </si>
  <si>
    <t>Marat Filip (TTC Elizza Praha)</t>
  </si>
  <si>
    <t>Hložek Tomáš (DDM Soběslav)</t>
  </si>
  <si>
    <t>Novotný Petr (DDM Soběslav)</t>
  </si>
  <si>
    <t>3:0 (8,2,6)</t>
  </si>
  <si>
    <t>Plachta Jakub (TJ Ostrava KST)</t>
  </si>
  <si>
    <t>Martinko Tomáš (TJ Ostrava KST)</t>
  </si>
  <si>
    <t>3:2 (10,8,-5,-13,4)</t>
  </si>
  <si>
    <t>Dobej Michal (STC Slaný)</t>
  </si>
  <si>
    <t>Hýža Daniel (TSM Kladno)</t>
  </si>
  <si>
    <t>Jirásek Martin (TJ Sokol PP Hradec Králové 2)</t>
  </si>
  <si>
    <t>Hušek Adam (TJ Sokol PP Hradec Králové 2)</t>
  </si>
  <si>
    <t>3:0 (6,11,7)</t>
  </si>
  <si>
    <t>3:0 (8,3,8)</t>
  </si>
  <si>
    <t>Jadrný Šimon (STEN Havlíčkův Brod)</t>
  </si>
  <si>
    <t>Bárta Daniel (TJ Jiskra Havlíčkův Brod)</t>
  </si>
  <si>
    <t>3:1 (7,-8,6,2)</t>
  </si>
  <si>
    <t>Branný Tomáš (SKST Baník Havířov)</t>
  </si>
  <si>
    <t>Rusnák Aleš (TJ Sokol Ropice)</t>
  </si>
  <si>
    <t>3:1 (3,-8,9,7)</t>
  </si>
  <si>
    <t>Mynář Vojtěch (TJ Lanškroun)</t>
  </si>
  <si>
    <t>Pařízek Martin (SKST Liberec)</t>
  </si>
  <si>
    <t>3:2 (-7,8,9,-9,9)</t>
  </si>
  <si>
    <t>Bako Adam (TJ Lanškroun)</t>
  </si>
  <si>
    <t>Vybíral Jakub (TJ Lanškroun)</t>
  </si>
  <si>
    <t>3:2 (-3,9,-10,8,9)</t>
  </si>
  <si>
    <t>Stránský Matěj (SK US Steinerova Choceň)</t>
  </si>
  <si>
    <t>Bělohlávek Dominik (SK US Steinerova Choceň)</t>
  </si>
  <si>
    <t>Górecki Jan (SKST Baník Havířov)</t>
  </si>
  <si>
    <t>Mikolašík Michal (SKST Baník Havířov)</t>
  </si>
  <si>
    <t>3:2 (7,-7,9,-7,6)</t>
  </si>
  <si>
    <t>3:0 (7,1,9)</t>
  </si>
  <si>
    <t>Lorenc David (SKST Hodonín)</t>
  </si>
  <si>
    <t>Zukal Adam (KST Blansko)</t>
  </si>
  <si>
    <t>3:1 (5,9,-7,6)</t>
  </si>
  <si>
    <t>Fausek Matěj (TTC Elizza Praha)</t>
  </si>
  <si>
    <t>Marat Petr (TTC Elizza Praha)</t>
  </si>
  <si>
    <t>3:2 (-5,2,11,-10,2)</t>
  </si>
  <si>
    <t>Olejník Petr (SK Přerov)</t>
  </si>
  <si>
    <t>Bako Radim (TJ Lanškroun)</t>
  </si>
  <si>
    <t>3:0 (2,5,6)</t>
  </si>
  <si>
    <t>Vévoda Ondřej (BSK Malenovice)</t>
  </si>
  <si>
    <t>Kotek Dominik (SK Frýdlant nad Ostravicí)</t>
  </si>
  <si>
    <t>3:1 (11,8,-5,9)</t>
  </si>
  <si>
    <t>Šimota Dominik (DDM Soběslav)</t>
  </si>
  <si>
    <t>Procházka Jaroslav (KST ZŠ Vyšší Brod)</t>
  </si>
  <si>
    <t>3:0 (8,4,9)</t>
  </si>
  <si>
    <t>Nguyen Tuan Anh (Sokol Brno I.)</t>
  </si>
  <si>
    <t>Vybíral Matouš (Znojmo)</t>
  </si>
  <si>
    <t>3:0 (8,8,8)</t>
  </si>
  <si>
    <t>Přída Kryštof (SK DDM Kotlářka Praha)</t>
  </si>
  <si>
    <t>Kubát Petr (SK DDM Kotlářka Praha)</t>
  </si>
  <si>
    <t>3:2 (7,-9,-11,3,8)</t>
  </si>
  <si>
    <t>Oharek David (KST Zlín)</t>
  </si>
  <si>
    <t>Dufek Jakub (KST Zlín)</t>
  </si>
  <si>
    <t>3:2 (5,10,-3,-10,1)</t>
  </si>
  <si>
    <t>Škarban Jan (TJ Slavoj Praha)</t>
  </si>
  <si>
    <t>Pašek Dominik (TJ Slavoj Praha)</t>
  </si>
  <si>
    <t>3:2 (-9,-6,9,6,7)</t>
  </si>
  <si>
    <t>Nedbálek Michal (KST Zlín)</t>
  </si>
  <si>
    <t>Hromek Filip (SKST Hodonín)</t>
  </si>
  <si>
    <t>3:0 (5,9,3)</t>
  </si>
  <si>
    <t>Macurák Michal (SKST Baník Havířov)</t>
  </si>
  <si>
    <t>Jirka Lukáš (TJ Sokol Chrudim)</t>
  </si>
  <si>
    <t>Dusík Stanislav (SK DDM Kotlářka Praha)</t>
  </si>
  <si>
    <t>Stránka 1/3</t>
  </si>
  <si>
    <t>Buben Vlastimil (TJ Sokol PP Hradec Králové 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</si>
</sst>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s>
  <fonts count="71">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b/>
      <sz val="10"/>
      <color indexed="39"/>
      <name val="Arial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Times New Roman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rgb="FF00FF00"/>
        <bgColor indexed="64"/>
      </patternFill>
    </fill>
    <fill>
      <patternFill patternType="solid">
        <fgColor indexed="43"/>
        <bgColor indexed="64"/>
      </patternFill>
    </fill>
    <fill>
      <patternFill patternType="solid">
        <fgColor rgb="FF00FFFF"/>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19" fillId="0" borderId="0">
      <alignment vertical="center"/>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275">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8"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9" fillId="0" borderId="13" xfId="0" applyFont="1" applyFill="1" applyBorder="1" applyAlignment="1" applyProtection="1">
      <alignment/>
      <protection hidden="1" locked="0"/>
    </xf>
    <xf numFmtId="0" fontId="9" fillId="0" borderId="13" xfId="0" applyFont="1" applyFill="1" applyBorder="1" applyAlignment="1" applyProtection="1">
      <alignment horizontal="center"/>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47"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47"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47" applyProtection="1">
      <alignment/>
      <protection hidden="1" locked="0"/>
    </xf>
    <xf numFmtId="0" fontId="20" fillId="0" borderId="0" xfId="46" applyFont="1" applyAlignment="1" applyProtection="1">
      <alignment vertical="center"/>
      <protection hidden="1" locked="0"/>
    </xf>
    <xf numFmtId="0" fontId="21" fillId="0" borderId="0" xfId="47" applyFont="1" applyAlignment="1" applyProtection="1">
      <alignment horizontal="left"/>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24" fillId="0" borderId="0" xfId="46" applyFont="1" applyAlignment="1" applyProtection="1">
      <alignment vertical="center"/>
      <protection hidden="1" locked="0"/>
    </xf>
    <xf numFmtId="0" fontId="25" fillId="0" borderId="0" xfId="46" applyFont="1" applyAlignment="1" applyProtection="1">
      <alignment vertical="center"/>
      <protection hidden="1" locked="0"/>
    </xf>
    <xf numFmtId="0" fontId="11" fillId="0" borderId="0" xfId="46" applyFont="1" applyAlignment="1" applyProtection="1">
      <alignment vertical="center"/>
      <protection hidden="1" locked="0"/>
    </xf>
    <xf numFmtId="0" fontId="11" fillId="0" borderId="0" xfId="46" applyFont="1" applyBorder="1" applyAlignment="1" applyProtection="1">
      <alignment vertical="center"/>
      <protection hidden="1" locked="0"/>
    </xf>
    <xf numFmtId="0" fontId="26" fillId="33" borderId="20" xfId="47" applyFont="1" applyFill="1" applyBorder="1" applyAlignment="1" applyProtection="1">
      <alignment horizontal="center" vertical="center"/>
      <protection hidden="1" locked="0"/>
    </xf>
    <xf numFmtId="0" fontId="27" fillId="33" borderId="21" xfId="47" applyFont="1" applyFill="1" applyBorder="1" applyAlignment="1" applyProtection="1">
      <alignment horizontal="center" vertical="center"/>
      <protection hidden="1" locked="0"/>
    </xf>
    <xf numFmtId="0" fontId="27" fillId="33" borderId="20" xfId="46" applyFont="1" applyFill="1" applyBorder="1" applyAlignment="1" applyProtection="1">
      <alignment horizontal="center" vertical="center"/>
      <protection hidden="1" locked="0"/>
    </xf>
    <xf numFmtId="0" fontId="28" fillId="0" borderId="14" xfId="47" applyNumberFormat="1" applyFont="1" applyFill="1" applyBorder="1" applyAlignment="1" applyProtection="1">
      <alignment horizontal="right" vertical="center"/>
      <protection hidden="1" locked="0"/>
    </xf>
    <xf numFmtId="0" fontId="13" fillId="0" borderId="0" xfId="47" applyFont="1" applyBorder="1" applyAlignment="1" applyProtection="1">
      <alignment horizontal="centerContinuous" vertical="center"/>
      <protection hidden="1" locked="0"/>
    </xf>
    <xf numFmtId="0" fontId="26" fillId="0" borderId="16" xfId="47" applyFont="1" applyFill="1" applyBorder="1" applyAlignment="1" applyProtection="1">
      <alignment horizontal="left" vertical="center"/>
      <protection hidden="1" locked="0"/>
    </xf>
    <xf numFmtId="0" fontId="28" fillId="0" borderId="16" xfId="46" applyNumberFormat="1" applyFont="1" applyFill="1" applyBorder="1" applyAlignment="1" applyProtection="1">
      <alignment horizontal="center" vertical="center"/>
      <protection hidden="1" locked="0"/>
    </xf>
    <xf numFmtId="0" fontId="28" fillId="0" borderId="15"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13" fillId="0" borderId="0" xfId="47" applyFont="1" applyBorder="1" applyAlignment="1" applyProtection="1">
      <alignment horizontal="center" vertical="center"/>
      <protection hidden="1" locked="0"/>
    </xf>
    <xf numFmtId="0" fontId="26" fillId="0" borderId="0" xfId="47" applyFont="1" applyBorder="1" applyAlignment="1" applyProtection="1">
      <alignment horizontal="center" vertical="center"/>
      <protection hidden="1" locked="0"/>
    </xf>
    <xf numFmtId="165" fontId="26" fillId="0" borderId="0" xfId="47" applyNumberFormat="1" applyFont="1" applyBorder="1" applyAlignment="1" applyProtection="1">
      <alignment horizontal="center" vertical="center"/>
      <protection hidden="1" locked="0"/>
    </xf>
    <xf numFmtId="0" fontId="28" fillId="0" borderId="22" xfId="46" applyNumberFormat="1"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4" fillId="0" borderId="0" xfId="46" applyFont="1" applyFill="1" applyBorder="1" applyAlignment="1" applyProtection="1">
      <alignment vertical="center"/>
      <protection hidden="1" locked="0"/>
    </xf>
    <xf numFmtId="0" fontId="25" fillId="0" borderId="0" xfId="46" applyFont="1" applyFill="1" applyBorder="1" applyAlignment="1" applyProtection="1">
      <alignment vertical="center"/>
      <protection hidden="1" locked="0"/>
    </xf>
    <xf numFmtId="0" fontId="27" fillId="0" borderId="0" xfId="46" applyFont="1" applyFill="1" applyBorder="1" applyAlignment="1" applyProtection="1">
      <alignment horizontal="center" vertical="center"/>
      <protection hidden="1" locked="0"/>
    </xf>
    <xf numFmtId="0" fontId="25" fillId="0" borderId="0" xfId="47" applyFont="1" applyFill="1" applyBorder="1" applyAlignment="1" applyProtection="1">
      <alignment horizontal="center" vertical="center"/>
      <protection hidden="1" locked="0"/>
    </xf>
    <xf numFmtId="0" fontId="27" fillId="0" borderId="0" xfId="47" applyFont="1" applyFill="1" applyBorder="1" applyAlignment="1" applyProtection="1">
      <alignment horizontal="center" vertical="center"/>
      <protection hidden="1" locked="0"/>
    </xf>
    <xf numFmtId="0" fontId="27" fillId="0" borderId="0" xfId="46" applyNumberFormat="1" applyFont="1" applyBorder="1" applyAlignment="1" applyProtection="1">
      <alignment horizontal="center" vertical="center"/>
      <protection hidden="1" locked="0"/>
    </xf>
    <xf numFmtId="0" fontId="28" fillId="35" borderId="16" xfId="46" applyNumberFormat="1" applyFont="1" applyFill="1" applyBorder="1" applyAlignment="1" applyProtection="1">
      <alignment horizontal="center" vertical="center"/>
      <protection hidden="1" locked="0"/>
    </xf>
    <xf numFmtId="0" fontId="28" fillId="35" borderId="15" xfId="46" applyNumberFormat="1" applyFont="1" applyFill="1" applyBorder="1" applyAlignment="1" applyProtection="1">
      <alignment horizontal="center" vertical="center"/>
      <protection hidden="1" locked="0"/>
    </xf>
    <xf numFmtId="0" fontId="28" fillId="35" borderId="22"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8" fillId="0" borderId="0" xfId="47" applyNumberFormat="1" applyFont="1" applyFill="1" applyBorder="1" applyAlignment="1" applyProtection="1">
      <alignment horizontal="right" vertical="center"/>
      <protection hidden="1" locked="0"/>
    </xf>
    <xf numFmtId="0" fontId="16" fillId="0" borderId="0" xfId="46" applyFont="1" applyFill="1" applyBorder="1" applyAlignment="1" applyProtection="1">
      <alignment horizontal="center" vertical="top"/>
      <protection hidden="1" locked="0"/>
    </xf>
    <xf numFmtId="49" fontId="19" fillId="0" borderId="0" xfId="46" applyNumberFormat="1" applyFont="1" applyFill="1" applyBorder="1" applyAlignment="1" applyProtection="1">
      <alignment horizontal="center" vertical="top"/>
      <protection hidden="1" locked="0"/>
    </xf>
    <xf numFmtId="164" fontId="19" fillId="0" borderId="0" xfId="46" applyNumberFormat="1" applyFont="1" applyFill="1" applyBorder="1" applyAlignment="1" applyProtection="1">
      <alignment horizontal="right" vertical="center"/>
      <protection hidden="1" locked="0"/>
    </xf>
    <xf numFmtId="0" fontId="19" fillId="0" borderId="0" xfId="47" applyNumberFormat="1" applyFont="1" applyFill="1" applyBorder="1" applyAlignment="1" applyProtection="1">
      <alignment horizontal="left" vertical="center"/>
      <protection hidden="1" locked="0"/>
    </xf>
    <xf numFmtId="1" fontId="27" fillId="0" borderId="0" xfId="46" applyNumberFormat="1" applyFont="1" applyFill="1" applyBorder="1" applyAlignment="1" applyProtection="1">
      <alignment horizontal="center" vertical="center"/>
      <protection hidden="1" locked="0"/>
    </xf>
    <xf numFmtId="0" fontId="28" fillId="35" borderId="14" xfId="46" applyNumberFormat="1" applyFont="1" applyFill="1" applyBorder="1" applyAlignment="1" applyProtection="1">
      <alignment horizontal="center" vertical="center"/>
      <protection hidden="1" locked="0"/>
    </xf>
    <xf numFmtId="0" fontId="28" fillId="35" borderId="0" xfId="46" applyNumberFormat="1" applyFont="1" applyFill="1" applyBorder="1" applyAlignment="1" applyProtection="1">
      <alignment horizontal="center" vertical="center"/>
      <protection hidden="1" locked="0"/>
    </xf>
    <xf numFmtId="0" fontId="11" fillId="0" borderId="0" xfId="47" applyBorder="1" applyAlignment="1" applyProtection="1">
      <alignment/>
      <protection hidden="1" locked="0"/>
    </xf>
    <xf numFmtId="0" fontId="22" fillId="0" borderId="0" xfId="47" applyFont="1" applyProtection="1">
      <alignment/>
      <protection hidden="1" locked="0"/>
    </xf>
    <xf numFmtId="0" fontId="26"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left" vertical="center"/>
      <protection hidden="1" locked="0"/>
    </xf>
    <xf numFmtId="0" fontId="32" fillId="0" borderId="0" xfId="0" applyFont="1" applyAlignment="1" applyProtection="1">
      <alignment/>
      <protection hidden="1" locked="0"/>
    </xf>
    <xf numFmtId="0" fontId="13" fillId="0" borderId="0" xfId="47" applyFont="1" applyAlignment="1" applyProtection="1">
      <alignment/>
      <protection hidden="1" locked="0"/>
    </xf>
    <xf numFmtId="14" fontId="11" fillId="0" borderId="0" xfId="0" applyNumberFormat="1"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6" borderId="15" xfId="0" applyFont="1" applyFill="1" applyBorder="1" applyAlignment="1" applyProtection="1">
      <alignment/>
      <protection hidden="1" locked="0"/>
    </xf>
    <xf numFmtId="0" fontId="19" fillId="0" borderId="0" xfId="0" applyFont="1" applyAlignment="1" applyProtection="1">
      <alignment/>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34"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6" fillId="0" borderId="0" xfId="0" applyFont="1" applyFill="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9" fillId="0" borderId="0" xfId="0" applyFont="1" applyBorder="1" applyAlignment="1" applyProtection="1">
      <alignment/>
      <protection hidden="1" locked="0"/>
    </xf>
    <xf numFmtId="0" fontId="10" fillId="0" borderId="0" xfId="0" applyFont="1" applyFill="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13" fillId="0" borderId="0" xfId="0" applyFont="1" applyAlignment="1" applyProtection="1">
      <alignment horizontal="center"/>
      <protection hidden="1" locked="0"/>
    </xf>
    <xf numFmtId="0" fontId="23" fillId="0" borderId="0" xfId="47"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10"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0" fillId="0" borderId="0" xfId="0" applyFont="1" applyAlignment="1" applyProtection="1">
      <alignment horizontal="center"/>
      <protection hidden="1" locked="0"/>
    </xf>
    <xf numFmtId="0" fontId="19"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4" fillId="0" borderId="0" xfId="0" applyFont="1" applyAlignment="1" applyProtection="1">
      <alignment horizontal="right" vertical="center"/>
      <protection hidden="1" locked="0"/>
    </xf>
    <xf numFmtId="0" fontId="0" fillId="0" borderId="14" xfId="0" applyBorder="1" applyAlignment="1" applyProtection="1">
      <alignment/>
      <protection hidden="1" locked="0"/>
    </xf>
    <xf numFmtId="20" fontId="11" fillId="0" borderId="18" xfId="0" applyNumberFormat="1" applyFont="1" applyBorder="1" applyAlignment="1" applyProtection="1">
      <alignment horizont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14" fontId="16" fillId="0" borderId="0" xfId="47" applyNumberFormat="1" applyFont="1" applyAlignment="1" applyProtection="1">
      <alignment horizontal="right"/>
      <protection hidden="1" locked="0"/>
    </xf>
    <xf numFmtId="164" fontId="19" fillId="0" borderId="0" xfId="46" applyNumberFormat="1" applyFont="1" applyFill="1" applyBorder="1" applyAlignment="1" applyProtection="1">
      <alignment horizontal="center" vertical="center"/>
      <protection hidden="1" locked="0"/>
    </xf>
    <xf numFmtId="1" fontId="30" fillId="0" borderId="0" xfId="46" applyNumberFormat="1" applyFont="1" applyFill="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9" fillId="0" borderId="0" xfId="46" applyFont="1" applyFill="1" applyBorder="1" applyAlignment="1" applyProtection="1">
      <alignment horizontal="center" vertical="center"/>
      <protection hidden="1" locked="0"/>
    </xf>
    <xf numFmtId="1"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Font="1" applyFill="1" applyBorder="1" applyAlignment="1" applyProtection="1">
      <alignment horizontal="center" vertical="center"/>
      <protection hidden="1" locked="0"/>
    </xf>
    <xf numFmtId="1" fontId="30" fillId="0" borderId="24" xfId="46" applyNumberFormat="1" applyFont="1" applyFill="1" applyBorder="1" applyAlignment="1" applyProtection="1">
      <alignment horizontal="center" vertical="center"/>
      <protection hidden="1" locked="0"/>
    </xf>
    <xf numFmtId="1" fontId="30" fillId="0" borderId="13" xfId="46" applyNumberFormat="1" applyFont="1" applyFill="1" applyBorder="1" applyAlignment="1" applyProtection="1">
      <alignment horizontal="center" vertical="center"/>
      <protection hidden="1" locked="0"/>
    </xf>
    <xf numFmtId="0" fontId="31" fillId="0" borderId="24" xfId="46" applyFont="1" applyFill="1" applyBorder="1" applyAlignment="1" applyProtection="1">
      <alignment horizontal="center" vertical="center"/>
      <protection hidden="1" locked="0"/>
    </xf>
    <xf numFmtId="0" fontId="31" fillId="0" borderId="13" xfId="46" applyFont="1" applyFill="1" applyBorder="1" applyAlignment="1" applyProtection="1">
      <alignment horizontal="center" vertical="center"/>
      <protection hidden="1" locked="0"/>
    </xf>
    <xf numFmtId="0" fontId="29" fillId="34" borderId="16" xfId="46" applyFont="1" applyFill="1" applyBorder="1" applyAlignment="1" applyProtection="1">
      <alignment horizontal="center" vertical="center"/>
      <protection hidden="1" locked="0"/>
    </xf>
    <xf numFmtId="0" fontId="29" fillId="34" borderId="15" xfId="46" applyFont="1" applyFill="1" applyBorder="1" applyAlignment="1" applyProtection="1">
      <alignment horizontal="center" vertical="center"/>
      <protection hidden="1" locked="0"/>
    </xf>
    <xf numFmtId="164" fontId="19" fillId="0" borderId="19" xfId="46" applyNumberFormat="1" applyFont="1" applyFill="1" applyBorder="1" applyAlignment="1" applyProtection="1">
      <alignment horizontal="center" vertical="center"/>
      <protection hidden="1" locked="0"/>
    </xf>
    <xf numFmtId="164" fontId="19" fillId="0" borderId="17" xfId="46" applyNumberFormat="1" applyFont="1" applyFill="1" applyBorder="1" applyAlignment="1" applyProtection="1">
      <alignment horizontal="center" vertical="center"/>
      <protection hidden="1" locked="0"/>
    </xf>
    <xf numFmtId="164" fontId="19" fillId="0" borderId="16" xfId="46" applyNumberFormat="1" applyFont="1" applyFill="1" applyBorder="1" applyAlignment="1" applyProtection="1">
      <alignment horizontal="center" vertical="center"/>
      <protection hidden="1" locked="0"/>
    </xf>
    <xf numFmtId="164" fontId="19" fillId="0" borderId="22" xfId="46" applyNumberFormat="1" applyFont="1" applyFill="1" applyBorder="1" applyAlignment="1" applyProtection="1">
      <alignment horizontal="center" vertical="center"/>
      <protection hidden="1" locked="0"/>
    </xf>
    <xf numFmtId="1" fontId="27" fillId="34" borderId="24" xfId="46" applyNumberFormat="1" applyFont="1" applyFill="1" applyBorder="1" applyAlignment="1" applyProtection="1">
      <alignment horizontal="center" vertical="center"/>
      <protection hidden="1" locked="0"/>
    </xf>
    <xf numFmtId="1" fontId="27" fillId="34" borderId="13"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9" fillId="34" borderId="14" xfId="46" applyFont="1" applyFill="1" applyBorder="1" applyAlignment="1" applyProtection="1">
      <alignment horizontal="center" vertical="center"/>
      <protection hidden="1" locked="0"/>
    </xf>
    <xf numFmtId="0" fontId="29" fillId="34" borderId="0"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1" fontId="30" fillId="0" borderId="25" xfId="46" applyNumberFormat="1" applyFont="1" applyFill="1" applyBorder="1" applyAlignment="1" applyProtection="1">
      <alignment horizontal="center" vertical="center"/>
      <protection hidden="1" locked="0"/>
    </xf>
    <xf numFmtId="0" fontId="31" fillId="0" borderId="25" xfId="46" applyFont="1" applyFill="1" applyBorder="1" applyAlignment="1" applyProtection="1">
      <alignment horizontal="center" vertical="center"/>
      <protection hidden="1" locked="0"/>
    </xf>
    <xf numFmtId="0" fontId="29" fillId="34" borderId="23" xfId="46" applyFont="1" applyFill="1" applyBorder="1" applyAlignment="1" applyProtection="1">
      <alignment horizontal="center" vertical="center"/>
      <protection hidden="1" locked="0"/>
    </xf>
    <xf numFmtId="164" fontId="19" fillId="0" borderId="14" xfId="46" applyNumberFormat="1" applyFont="1" applyFill="1" applyBorder="1" applyAlignment="1" applyProtection="1">
      <alignment horizontal="center" vertical="center"/>
      <protection hidden="1" locked="0"/>
    </xf>
    <xf numFmtId="164" fontId="19" fillId="0" borderId="23" xfId="46" applyNumberFormat="1" applyFont="1" applyFill="1" applyBorder="1" applyAlignment="1" applyProtection="1">
      <alignment horizontal="center" vertical="center"/>
      <protection hidden="1" locked="0"/>
    </xf>
    <xf numFmtId="0" fontId="29" fillId="34" borderId="22" xfId="46" applyFont="1" applyFill="1" applyBorder="1" applyAlignment="1" applyProtection="1">
      <alignment horizontal="center" vertical="center"/>
      <protection hidden="1" locked="0"/>
    </xf>
    <xf numFmtId="1" fontId="27" fillId="34" borderId="25" xfId="46" applyNumberFormat="1" applyFont="1" applyFill="1" applyBorder="1" applyAlignment="1" applyProtection="1">
      <alignment horizontal="center" vertical="center"/>
      <protection hidden="1" locked="0"/>
    </xf>
    <xf numFmtId="0" fontId="27" fillId="33" borderId="21" xfId="46" applyNumberFormat="1" applyFont="1" applyFill="1" applyBorder="1" applyAlignment="1" applyProtection="1">
      <alignment horizontal="center" vertical="center"/>
      <protection hidden="1" locked="0"/>
    </xf>
    <xf numFmtId="0" fontId="27" fillId="33" borderId="26" xfId="46" applyNumberFormat="1" applyFont="1" applyFill="1" applyBorder="1" applyAlignment="1" applyProtection="1">
      <alignment horizontal="center" vertical="center"/>
      <protection hidden="1" locked="0"/>
    </xf>
    <xf numFmtId="0" fontId="27" fillId="33" borderId="27" xfId="46" applyNumberFormat="1" applyFont="1" applyFill="1" applyBorder="1" applyAlignment="1" applyProtection="1">
      <alignment horizontal="center" vertical="center"/>
      <protection hidden="1" locked="0"/>
    </xf>
    <xf numFmtId="0" fontId="27" fillId="33" borderId="21" xfId="46" applyFont="1" applyFill="1" applyBorder="1" applyAlignment="1" applyProtection="1">
      <alignment horizontal="center" vertical="center"/>
      <protection hidden="1" locked="0"/>
    </xf>
    <xf numFmtId="0" fontId="27" fillId="33" borderId="27"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0" fontId="27" fillId="0" borderId="17"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20" fontId="26" fillId="0" borderId="0" xfId="47" applyNumberFormat="1" applyFont="1" applyBorder="1" applyAlignment="1" applyProtection="1">
      <alignment horizontal="center" vertical="center"/>
      <protection hidden="1" locked="0"/>
    </xf>
    <xf numFmtId="0" fontId="18" fillId="33" borderId="0" xfId="0" applyFont="1" applyFill="1" applyAlignment="1" applyProtection="1">
      <alignment horizontal="center"/>
      <protection hidden="1" locked="0"/>
    </xf>
    <xf numFmtId="0" fontId="13" fillId="0" borderId="0" xfId="47" applyFont="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32" fillId="0" borderId="0" xfId="0" applyFont="1" applyAlignment="1" applyProtection="1">
      <alignment horizont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32" fillId="37" borderId="0" xfId="0" applyFont="1" applyFill="1" applyAlignment="1" applyProtection="1">
      <alignment horizontal="center"/>
      <protection hidden="1" locked="0"/>
    </xf>
    <xf numFmtId="0" fontId="27"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14" fillId="38"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27"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4"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39" borderId="0" xfId="0" applyFont="1" applyFill="1" applyAlignment="1" applyProtection="1">
      <alignment horizontal="center"/>
      <protection hidden="1" locked="0"/>
    </xf>
    <xf numFmtId="0" fontId="27" fillId="35" borderId="14" xfId="46" applyNumberFormat="1" applyFont="1" applyFill="1" applyBorder="1" applyAlignment="1" applyProtection="1">
      <alignment horizontal="center" vertical="center"/>
      <protection hidden="1" locked="0"/>
    </xf>
    <xf numFmtId="0" fontId="27" fillId="35" borderId="0" xfId="46" applyNumberFormat="1" applyFont="1" applyFill="1" applyBorder="1" applyAlignment="1" applyProtection="1">
      <alignment horizontal="center" vertical="center"/>
      <protection hidden="1" locked="0"/>
    </xf>
    <xf numFmtId="0" fontId="27" fillId="35" borderId="23" xfId="46" applyNumberFormat="1" applyFont="1" applyFill="1" applyBorder="1" applyAlignment="1" applyProtection="1">
      <alignment horizontal="center" vertical="center"/>
      <protection hidden="1" locked="0"/>
    </xf>
    <xf numFmtId="0" fontId="27" fillId="35" borderId="19" xfId="46" applyNumberFormat="1" applyFont="1" applyFill="1" applyBorder="1" applyAlignment="1" applyProtection="1">
      <alignment horizontal="center" vertical="center"/>
      <protection hidden="1" locked="0"/>
    </xf>
    <xf numFmtId="0" fontId="27" fillId="35" borderId="18" xfId="46" applyNumberFormat="1" applyFont="1" applyFill="1" applyBorder="1" applyAlignment="1" applyProtection="1">
      <alignment horizontal="center" vertical="center"/>
      <protection hidden="1" locked="0"/>
    </xf>
    <xf numFmtId="0" fontId="19" fillId="0" borderId="0" xfId="0" applyFont="1" applyBorder="1" applyAlignment="1" applyProtection="1">
      <alignment horizontal="center"/>
      <protection hidden="1" locked="0"/>
    </xf>
    <xf numFmtId="0" fontId="27"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Alignment="1" applyProtection="1">
      <alignment horizontal="center" vertical="center"/>
      <protection hidden="1" locked="0"/>
    </xf>
    <xf numFmtId="0" fontId="70" fillId="0" borderId="0" xfId="0" applyFont="1" applyFill="1" applyBorder="1" applyAlignment="1" applyProtection="1">
      <alignment horizont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36">
    <dxf>
      <border>
        <right style="thin"/>
        <bottom style="thin"/>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bottom style="thin"/>
      </border>
    </dxf>
    <dxf>
      <border>
        <bottom style="thin"/>
      </border>
    </dxf>
    <dxf>
      <border>
        <bottom style="thin"/>
      </border>
    </dxf>
    <dxf>
      <border>
        <right style="thin"/>
      </border>
    </dxf>
    <dxf>
      <border>
        <bottom style="thin"/>
      </border>
    </dxf>
    <dxf>
      <border>
        <bottom style="thin"/>
      </border>
    </dxf>
    <dxf>
      <border>
        <top style="thin"/>
      </border>
    </dxf>
    <dxf>
      <border>
        <right style="thin"/>
      </border>
    </dxf>
    <dxf>
      <border>
        <bottom style="thin"/>
      </border>
    </dxf>
    <dxf>
      <border>
        <top style="thin"/>
      </border>
    </dxf>
    <dxf>
      <border>
        <right style="thin"/>
      </border>
    </dxf>
    <dxf>
      <border>
        <bottom style="thin"/>
      </border>
    </dxf>
    <dxf>
      <border>
        <right style="thin"/>
        <top style="thin"/>
        <bottom style="thin"/>
      </border>
    </dxf>
    <dxf>
      <border>
        <bottom style="thin"/>
      </border>
    </dxf>
    <dxf>
      <fill>
        <patternFill>
          <bgColor theme="0" tint="-0.24993999302387238"/>
        </patternFill>
      </fill>
    </dxf>
    <dxf>
      <font>
        <b/>
        <i val="0"/>
      </font>
      <fill>
        <patternFill>
          <bgColor rgb="FF00FFFF"/>
        </patternFill>
      </fill>
      <border>
        <bottom style="thin"/>
      </border>
    </dxf>
    <dxf>
      <border>
        <right style="thin"/>
      </border>
    </dxf>
    <dxf>
      <border>
        <right style="thin"/>
        <bottom style="thin"/>
      </border>
    </dxf>
    <dxf>
      <border>
        <right style="thin"/>
        <top style="thin"/>
      </border>
    </dxf>
    <dxf>
      <border>
        <right style="thin"/>
      </border>
    </dxf>
    <dxf>
      <border>
        <right style="thin"/>
      </border>
    </dxf>
    <dxf>
      <border>
        <right style="thin"/>
        <top style="thin"/>
      </border>
    </dxf>
    <dxf>
      <border>
        <bottom style="thin"/>
      </border>
    </dxf>
    <dxf>
      <border>
        <right style="thin"/>
        <bottom style="thin"/>
      </border>
    </dxf>
    <dxf>
      <border>
        <right style="thin"/>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ont>
        <b/>
        <i val="0"/>
      </font>
      <border>
        <bottom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border>
        <right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ont>
        <b/>
        <i val="0"/>
      </font>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22"/>
        </patternFill>
      </fill>
    </dxf>
    <dxf>
      <fill>
        <patternFill>
          <bgColor theme="0" tint="-0.24993999302387238"/>
        </patternFill>
      </fill>
    </dxf>
    <dxf>
      <fill>
        <patternFill>
          <bgColor indexed="22"/>
        </patternFill>
      </fill>
    </dxf>
    <dxf>
      <fill>
        <patternFill>
          <bgColor indexed="22"/>
        </patternFill>
      </fill>
    </dxf>
    <dxf>
      <border>
        <top style="thin"/>
      </border>
    </dxf>
    <dxf>
      <border>
        <right style="thin"/>
      </border>
    </dxf>
    <dxf>
      <border>
        <right style="thin"/>
        <top style="thin"/>
        <bottom style="thin"/>
      </border>
    </dxf>
    <dxf>
      <border>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border>
        <right/>
        <bottom style="thin"/>
      </border>
    </dxf>
    <dxf>
      <border>
        <right style="thin"/>
      </border>
    </dxf>
    <dxf>
      <border>
        <right style="thin"/>
        <bottom style="thin"/>
      </border>
    </dxf>
    <dxf>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right style="thin"/>
      </border>
    </dxf>
    <dxf>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left style="thin">
          <color rgb="FF000000"/>
        </left>
        <right style="thin">
          <color rgb="FF000000"/>
        </right>
      </border>
    </dxf>
    <dxf>
      <fill>
        <patternFill>
          <bgColor rgb="FF66FFFF"/>
        </patternFill>
      </fill>
      <border>
        <bottom style="thin">
          <color rgb="FF000000"/>
        </bottom>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border>
        <top style="thin">
          <color rgb="FF000000"/>
        </top>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patternType="none">
          <bgColor indexed="65"/>
        </patternFill>
      </fill>
      <border>
        <right>
          <color rgb="FF000000"/>
        </right>
        <bottom style="thin">
          <color rgb="FF000000"/>
        </bottom>
      </border>
    </dxf>
    <dxf>
      <font>
        <b/>
        <i val="0"/>
      </font>
      <fill>
        <patternFill>
          <bgColor rgb="FF00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omas\Desktop\HUSTOPE&#268;E%202015\dorost\HOLKY\BTM_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Content.IE5\PMTDWJYW\HUSTOPE&#268;E%202015\dorost\KLUCI\BTM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 val="BTM_D"/>
    </sheetNames>
    <definedNames>
      <definedName name="zprava_ko"/>
    </definedNames>
    <sheetDataSet>
      <sheetData sheetId="3">
        <row r="23">
          <cell r="C23">
            <v>17</v>
          </cell>
        </row>
        <row r="24">
          <cell r="C24" t="str">
            <v/>
          </cell>
        </row>
        <row r="25">
          <cell r="C25">
            <v>54</v>
          </cell>
        </row>
        <row r="26">
          <cell r="C26">
            <v>86</v>
          </cell>
        </row>
        <row r="27">
          <cell r="C27">
            <v>30</v>
          </cell>
        </row>
        <row r="28">
          <cell r="C28">
            <v>77</v>
          </cell>
        </row>
        <row r="29">
          <cell r="C29" t="str">
            <v/>
          </cell>
        </row>
        <row r="30">
          <cell r="C30">
            <v>28</v>
          </cell>
        </row>
        <row r="31">
          <cell r="C31">
            <v>25</v>
          </cell>
        </row>
        <row r="32">
          <cell r="C32" t="str">
            <v/>
          </cell>
        </row>
        <row r="33">
          <cell r="C33">
            <v>39</v>
          </cell>
        </row>
        <row r="34">
          <cell r="C34">
            <v>73</v>
          </cell>
        </row>
        <row r="35">
          <cell r="C35">
            <v>33</v>
          </cell>
        </row>
        <row r="36">
          <cell r="C36">
            <v>64</v>
          </cell>
        </row>
        <row r="37">
          <cell r="C37" t="str">
            <v/>
          </cell>
        </row>
        <row r="38">
          <cell r="C38">
            <v>15</v>
          </cell>
        </row>
        <row r="39">
          <cell r="C39">
            <v>16</v>
          </cell>
        </row>
        <row r="40">
          <cell r="C40" t="str">
            <v/>
          </cell>
        </row>
        <row r="41">
          <cell r="C41">
            <v>38</v>
          </cell>
        </row>
        <row r="42">
          <cell r="C42">
            <v>32</v>
          </cell>
        </row>
        <row r="43">
          <cell r="C43">
            <v>44</v>
          </cell>
        </row>
        <row r="44">
          <cell r="C44" t="str">
            <v/>
          </cell>
        </row>
        <row r="45">
          <cell r="C45" t="str">
            <v/>
          </cell>
        </row>
        <row r="46">
          <cell r="C46">
            <v>22</v>
          </cell>
        </row>
        <row r="47">
          <cell r="C47">
            <v>27</v>
          </cell>
        </row>
        <row r="48">
          <cell r="C48" t="str">
            <v/>
          </cell>
        </row>
        <row r="49">
          <cell r="C49">
            <v>52</v>
          </cell>
        </row>
        <row r="50">
          <cell r="C50">
            <v>50</v>
          </cell>
        </row>
        <row r="51">
          <cell r="C51">
            <v>59</v>
          </cell>
        </row>
        <row r="52">
          <cell r="C52">
            <v>84</v>
          </cell>
        </row>
        <row r="53">
          <cell r="C53" t="str">
            <v/>
          </cell>
        </row>
        <row r="54">
          <cell r="C54">
            <v>19</v>
          </cell>
        </row>
        <row r="55">
          <cell r="C55">
            <v>18</v>
          </cell>
        </row>
        <row r="56">
          <cell r="C56" t="str">
            <v/>
          </cell>
        </row>
        <row r="57">
          <cell r="C57">
            <v>66</v>
          </cell>
        </row>
        <row r="58">
          <cell r="C58">
            <v>72</v>
          </cell>
        </row>
        <row r="59">
          <cell r="C59">
            <v>83</v>
          </cell>
        </row>
        <row r="60">
          <cell r="C60">
            <v>47</v>
          </cell>
        </row>
        <row r="61">
          <cell r="C61" t="str">
            <v/>
          </cell>
        </row>
        <row r="62">
          <cell r="C62">
            <v>29</v>
          </cell>
        </row>
        <row r="63">
          <cell r="C63">
            <v>26</v>
          </cell>
        </row>
        <row r="64">
          <cell r="C64" t="str">
            <v/>
          </cell>
        </row>
        <row r="65">
          <cell r="C65" t="str">
            <v/>
          </cell>
        </row>
        <row r="66">
          <cell r="C66">
            <v>85</v>
          </cell>
        </row>
        <row r="67">
          <cell r="C67">
            <v>60</v>
          </cell>
        </row>
        <row r="68">
          <cell r="C68">
            <v>70</v>
          </cell>
        </row>
        <row r="69">
          <cell r="C69" t="str">
            <v/>
          </cell>
        </row>
        <row r="70">
          <cell r="C70">
            <v>14</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79">
          <cell r="C79"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sheetData>
      <sheetData sheetId="5">
        <row r="6">
          <cell r="F6" t="str">
            <v>dorostenky</v>
          </cell>
        </row>
        <row r="10">
          <cell r="L10">
            <v>8</v>
          </cell>
        </row>
      </sheetData>
      <sheetData sheetId="6">
        <row r="3">
          <cell r="B3" t="str">
            <v>Jméno</v>
          </cell>
          <cell r="C3" t="str">
            <v>Oddíl - klub</v>
          </cell>
          <cell r="D3" t="str">
            <v>dat.nar</v>
          </cell>
        </row>
        <row r="4">
          <cell r="A4">
            <v>0</v>
          </cell>
          <cell r="B4" t="str">
            <v>bye</v>
          </cell>
          <cell r="C4" t="str">
            <v>bye </v>
          </cell>
        </row>
        <row r="5">
          <cell r="A5">
            <v>1</v>
          </cell>
          <cell r="B5" t="str">
            <v>Blašková Zdena</v>
          </cell>
          <cell r="C5" t="str">
            <v>TJ Libín Prachatice</v>
          </cell>
          <cell r="D5">
            <v>2001</v>
          </cell>
        </row>
        <row r="6">
          <cell r="A6">
            <v>2</v>
          </cell>
          <cell r="B6" t="str">
            <v>Ševčíková Markéta</v>
          </cell>
          <cell r="C6" t="str">
            <v>KST Hluk</v>
          </cell>
          <cell r="D6">
            <v>1998</v>
          </cell>
        </row>
        <row r="7">
          <cell r="A7">
            <v>3</v>
          </cell>
          <cell r="B7" t="str">
            <v>Čechová Kateřina</v>
          </cell>
          <cell r="C7" t="str">
            <v>SKST Baník Havířov</v>
          </cell>
          <cell r="D7">
            <v>1999</v>
          </cell>
        </row>
        <row r="8">
          <cell r="A8">
            <v>4</v>
          </cell>
          <cell r="B8" t="str">
            <v>Petrovová Nikita</v>
          </cell>
          <cell r="C8" t="str">
            <v>SKST Baník Havířov</v>
          </cell>
          <cell r="D8">
            <v>1999</v>
          </cell>
        </row>
        <row r="9">
          <cell r="A9">
            <v>5</v>
          </cell>
          <cell r="B9" t="str">
            <v>Matějovská Anna</v>
          </cell>
          <cell r="C9" t="str">
            <v>SKST Vlašim</v>
          </cell>
          <cell r="D9">
            <v>2000</v>
          </cell>
        </row>
        <row r="10">
          <cell r="A10">
            <v>6</v>
          </cell>
          <cell r="B10" t="str">
            <v>Pyskatá Denisa</v>
          </cell>
          <cell r="C10" t="str">
            <v>SKST Hodonín</v>
          </cell>
          <cell r="D10">
            <v>1998</v>
          </cell>
        </row>
        <row r="11">
          <cell r="A11">
            <v>7</v>
          </cell>
          <cell r="B11" t="str">
            <v>Slezáková Stanislava</v>
          </cell>
          <cell r="C11" t="str">
            <v>KST Hluk</v>
          </cell>
          <cell r="D11">
            <v>1999</v>
          </cell>
        </row>
        <row r="12">
          <cell r="A12">
            <v>8</v>
          </cell>
          <cell r="B12" t="str">
            <v>Bošinová Veronika</v>
          </cell>
          <cell r="C12" t="str">
            <v>SKST Vlašim</v>
          </cell>
          <cell r="D12">
            <v>1998</v>
          </cell>
        </row>
        <row r="13">
          <cell r="A13">
            <v>9</v>
          </cell>
          <cell r="B13" t="str">
            <v>Kozáková Tereza</v>
          </cell>
          <cell r="C13" t="str">
            <v>TJ Sokol PP Hradec Králové 2</v>
          </cell>
          <cell r="D13">
            <v>1999</v>
          </cell>
        </row>
        <row r="14">
          <cell r="A14">
            <v>10</v>
          </cell>
          <cell r="B14" t="str">
            <v>Ilčíková Anežka</v>
          </cell>
          <cell r="C14" t="str">
            <v>SKST Hodonín</v>
          </cell>
          <cell r="D14">
            <v>2000</v>
          </cell>
        </row>
        <row r="15">
          <cell r="A15">
            <v>11</v>
          </cell>
          <cell r="B15" t="str">
            <v>Pěnkavová Dagmar</v>
          </cell>
          <cell r="C15" t="str">
            <v>SKST Vlašim</v>
          </cell>
          <cell r="D15">
            <v>1998</v>
          </cell>
        </row>
        <row r="16">
          <cell r="A16">
            <v>12</v>
          </cell>
          <cell r="B16" t="str">
            <v>Tušlová Veronika</v>
          </cell>
          <cell r="C16" t="str">
            <v>MSK Břeclav</v>
          </cell>
          <cell r="D16">
            <v>1998</v>
          </cell>
        </row>
        <row r="17">
          <cell r="A17">
            <v>13</v>
          </cell>
          <cell r="B17" t="str">
            <v>Štěpánová Gabriela</v>
          </cell>
          <cell r="C17" t="str">
            <v>SKST Baník Havířov</v>
          </cell>
          <cell r="D17">
            <v>2001</v>
          </cell>
        </row>
        <row r="18">
          <cell r="A18">
            <v>14</v>
          </cell>
          <cell r="B18" t="str">
            <v>Blechová Barbora</v>
          </cell>
          <cell r="C18" t="str">
            <v>SKST Hodonín</v>
          </cell>
          <cell r="D18">
            <v>1998</v>
          </cell>
        </row>
        <row r="19">
          <cell r="A19">
            <v>15</v>
          </cell>
          <cell r="B19" t="str">
            <v>Beranová Sára</v>
          </cell>
          <cell r="C19" t="str">
            <v>SKST Vlašim</v>
          </cell>
          <cell r="D19">
            <v>1999</v>
          </cell>
        </row>
        <row r="20">
          <cell r="A20">
            <v>16</v>
          </cell>
          <cell r="B20" t="str">
            <v>Zelingrová Kamila</v>
          </cell>
          <cell r="C20" t="str">
            <v>SKST Vlašim</v>
          </cell>
          <cell r="D20">
            <v>1999</v>
          </cell>
        </row>
        <row r="21">
          <cell r="A21">
            <v>17</v>
          </cell>
          <cell r="B21" t="str">
            <v>Sazimová Terezie</v>
          </cell>
          <cell r="C21" t="str">
            <v>TJ Sokol PP Hradec Králové 2</v>
          </cell>
          <cell r="D21">
            <v>2000</v>
          </cell>
        </row>
        <row r="22">
          <cell r="A22">
            <v>18</v>
          </cell>
          <cell r="B22" t="str">
            <v>Polívková Barbora</v>
          </cell>
          <cell r="C22" t="str">
            <v>SKST Vlašim</v>
          </cell>
          <cell r="D22">
            <v>2000</v>
          </cell>
        </row>
        <row r="23">
          <cell r="A23">
            <v>19</v>
          </cell>
          <cell r="B23" t="str">
            <v>Rusnáková Markéta</v>
          </cell>
          <cell r="C23" t="str">
            <v>SK Frýdlant nad Ostravicí</v>
          </cell>
          <cell r="D23">
            <v>1998</v>
          </cell>
        </row>
        <row r="24">
          <cell r="A24">
            <v>20</v>
          </cell>
          <cell r="B24" t="str">
            <v>Ševčíková Klára</v>
          </cell>
          <cell r="C24" t="str">
            <v>SKST Hodonín</v>
          </cell>
          <cell r="D24">
            <v>2000</v>
          </cell>
        </row>
        <row r="25">
          <cell r="A25">
            <v>21</v>
          </cell>
          <cell r="B25" t="str">
            <v>Hnátková Barbora</v>
          </cell>
          <cell r="C25" t="str">
            <v>TJ Sokol Vsetín</v>
          </cell>
          <cell r="D25">
            <v>2000</v>
          </cell>
        </row>
        <row r="26">
          <cell r="A26">
            <v>22</v>
          </cell>
          <cell r="B26" t="str">
            <v>Stránská Anna</v>
          </cell>
          <cell r="C26" t="str">
            <v>Viktoria Radim</v>
          </cell>
          <cell r="D26">
            <v>2002</v>
          </cell>
        </row>
        <row r="27">
          <cell r="A27">
            <v>23</v>
          </cell>
          <cell r="B27" t="str">
            <v>Allertová Sára</v>
          </cell>
          <cell r="C27" t="str">
            <v>SKP Ústí nad Labem</v>
          </cell>
          <cell r="D27">
            <v>1999</v>
          </cell>
        </row>
        <row r="28">
          <cell r="A28">
            <v>24</v>
          </cell>
          <cell r="B28" t="str">
            <v>Viktorínová Michaela</v>
          </cell>
          <cell r="C28" t="str">
            <v>KST Zlín</v>
          </cell>
          <cell r="D28">
            <v>2000</v>
          </cell>
        </row>
        <row r="29">
          <cell r="A29">
            <v>25</v>
          </cell>
          <cell r="B29" t="str">
            <v>Koblovská Dominika</v>
          </cell>
          <cell r="C29" t="str">
            <v>TJ Ostrava KST</v>
          </cell>
          <cell r="D29">
            <v>1998</v>
          </cell>
        </row>
        <row r="30">
          <cell r="A30">
            <v>26</v>
          </cell>
          <cell r="B30" t="str">
            <v>Jemelíková Alice</v>
          </cell>
          <cell r="C30" t="str">
            <v>SK Frýdlant nad Ostravicí</v>
          </cell>
          <cell r="D30">
            <v>1998</v>
          </cell>
        </row>
        <row r="31">
          <cell r="A31">
            <v>27</v>
          </cell>
          <cell r="B31" t="str">
            <v>Pytlíková Tereza</v>
          </cell>
          <cell r="C31" t="str">
            <v>SKST Vlašim</v>
          </cell>
          <cell r="D31">
            <v>2001</v>
          </cell>
        </row>
        <row r="32">
          <cell r="A32">
            <v>28</v>
          </cell>
          <cell r="B32" t="str">
            <v>Bošinová Aneta</v>
          </cell>
          <cell r="C32" t="str">
            <v>SKST Vlašim</v>
          </cell>
          <cell r="D32">
            <v>2001</v>
          </cell>
        </row>
        <row r="33">
          <cell r="A33">
            <v>29</v>
          </cell>
          <cell r="B33" t="str">
            <v>Sedláčková Tereza</v>
          </cell>
          <cell r="C33" t="str">
            <v>Sokol Chrudim</v>
          </cell>
          <cell r="D33">
            <v>1999</v>
          </cell>
        </row>
        <row r="34">
          <cell r="A34">
            <v>30</v>
          </cell>
          <cell r="B34" t="str">
            <v>Daňová Barbora</v>
          </cell>
          <cell r="C34" t="str">
            <v>SK Frýdlant nad Ostravicí</v>
          </cell>
          <cell r="D34">
            <v>1999</v>
          </cell>
        </row>
        <row r="35">
          <cell r="A35">
            <v>31</v>
          </cell>
          <cell r="B35" t="str">
            <v>Rozínková Monika</v>
          </cell>
          <cell r="C35" t="str">
            <v>SK Dobré</v>
          </cell>
          <cell r="D35">
            <v>1998</v>
          </cell>
        </row>
        <row r="36">
          <cell r="A36">
            <v>32</v>
          </cell>
          <cell r="B36" t="str">
            <v>Jirásková Tereza</v>
          </cell>
          <cell r="C36" t="str">
            <v>TJ Sokol PP Hradec Králové 2</v>
          </cell>
          <cell r="D36">
            <v>2001</v>
          </cell>
        </row>
        <row r="37">
          <cell r="A37">
            <v>33</v>
          </cell>
          <cell r="B37" t="str">
            <v>Synková Kristýna</v>
          </cell>
          <cell r="C37" t="str">
            <v>TJ Sokol Děhylov</v>
          </cell>
          <cell r="D37">
            <v>1998</v>
          </cell>
        </row>
        <row r="38">
          <cell r="A38">
            <v>34</v>
          </cell>
          <cell r="B38" t="str">
            <v>Vysocká Karolína</v>
          </cell>
          <cell r="C38" t="str">
            <v>TJ Ostrov</v>
          </cell>
          <cell r="D38">
            <v>1998</v>
          </cell>
        </row>
        <row r="39">
          <cell r="A39">
            <v>35</v>
          </cell>
          <cell r="B39" t="str">
            <v>Polcarová Anežka</v>
          </cell>
          <cell r="C39" t="str">
            <v>Jiskra Březová</v>
          </cell>
          <cell r="D39">
            <v>1998</v>
          </cell>
        </row>
        <row r="40">
          <cell r="A40">
            <v>36</v>
          </cell>
          <cell r="B40" t="str">
            <v>Nováková Martina</v>
          </cell>
          <cell r="C40" t="str">
            <v>TJ Sokol PP Hradec Králové 2</v>
          </cell>
          <cell r="D40">
            <v>2002</v>
          </cell>
        </row>
        <row r="41">
          <cell r="A41">
            <v>37</v>
          </cell>
          <cell r="B41" t="str">
            <v>Lajdová Karolína</v>
          </cell>
          <cell r="C41" t="str">
            <v>SKST Vlašim</v>
          </cell>
          <cell r="D41">
            <v>2001</v>
          </cell>
        </row>
        <row r="42">
          <cell r="A42">
            <v>38</v>
          </cell>
          <cell r="B42" t="str">
            <v>Janoušová Pavla</v>
          </cell>
          <cell r="C42" t="str">
            <v>TJ Sokol Plzeň V.</v>
          </cell>
          <cell r="D42">
            <v>1999</v>
          </cell>
        </row>
        <row r="43">
          <cell r="A43">
            <v>39</v>
          </cell>
          <cell r="B43" t="str">
            <v>Štricová Niamh</v>
          </cell>
          <cell r="C43" t="str">
            <v>STC Slaný</v>
          </cell>
          <cell r="D43">
            <v>2002</v>
          </cell>
        </row>
        <row r="44">
          <cell r="A44">
            <v>40</v>
          </cell>
          <cell r="B44" t="str">
            <v>Králová Lucie</v>
          </cell>
          <cell r="C44" t="str">
            <v>SK Přerov</v>
          </cell>
          <cell r="D44">
            <v>1998</v>
          </cell>
        </row>
        <row r="45">
          <cell r="A45">
            <v>41</v>
          </cell>
          <cell r="B45" t="str">
            <v>Šiblová Sára</v>
          </cell>
          <cell r="C45" t="str">
            <v>SKST Hodonín</v>
          </cell>
          <cell r="D45">
            <v>1999</v>
          </cell>
        </row>
        <row r="46">
          <cell r="A46">
            <v>42</v>
          </cell>
          <cell r="B46" t="str">
            <v>Šimůnková Veronika</v>
          </cell>
          <cell r="C46" t="str">
            <v>TJ Slavoj Praha</v>
          </cell>
          <cell r="D46">
            <v>2002</v>
          </cell>
        </row>
        <row r="47">
          <cell r="A47">
            <v>43</v>
          </cell>
          <cell r="B47" t="str">
            <v>Šedová Eliška</v>
          </cell>
          <cell r="C47" t="str">
            <v>TTC Ústí nad Orlicí</v>
          </cell>
          <cell r="D47">
            <v>2001</v>
          </cell>
        </row>
        <row r="48">
          <cell r="A48">
            <v>44</v>
          </cell>
          <cell r="B48" t="str">
            <v>Cacková Tereza</v>
          </cell>
          <cell r="C48" t="str">
            <v>TJ Lanškroun</v>
          </cell>
          <cell r="D48">
            <v>1998</v>
          </cell>
        </row>
        <row r="49">
          <cell r="A49">
            <v>45</v>
          </cell>
          <cell r="B49" t="str">
            <v>Pěnkavová Kristýna</v>
          </cell>
          <cell r="C49" t="str">
            <v>SKST Vlašim</v>
          </cell>
          <cell r="D49">
            <v>2002</v>
          </cell>
        </row>
        <row r="50">
          <cell r="A50">
            <v>46</v>
          </cell>
          <cell r="B50" t="str">
            <v>Vodáková Táňa</v>
          </cell>
          <cell r="C50" t="str">
            <v>DDM Soběslav</v>
          </cell>
          <cell r="D50">
            <v>2000</v>
          </cell>
        </row>
        <row r="51">
          <cell r="A51">
            <v>47</v>
          </cell>
          <cell r="B51" t="str">
            <v>Melicharová Iveta</v>
          </cell>
          <cell r="C51" t="str">
            <v>TTC Elizza Praha</v>
          </cell>
          <cell r="D51">
            <v>1999</v>
          </cell>
        </row>
        <row r="52">
          <cell r="A52">
            <v>48</v>
          </cell>
          <cell r="B52" t="str">
            <v>Svatoňová Tereza</v>
          </cell>
          <cell r="C52" t="str">
            <v>SKST Liberec</v>
          </cell>
          <cell r="D52">
            <v>1998</v>
          </cell>
        </row>
        <row r="53">
          <cell r="A53">
            <v>49</v>
          </cell>
          <cell r="B53" t="str">
            <v>Bandíková Linda</v>
          </cell>
          <cell r="C53" t="str">
            <v>KST ZŠ Vyšší Brod</v>
          </cell>
          <cell r="D53">
            <v>2000</v>
          </cell>
        </row>
        <row r="54">
          <cell r="A54">
            <v>50</v>
          </cell>
          <cell r="B54" t="str">
            <v>Hejzlarová Lucie</v>
          </cell>
          <cell r="C54" t="str">
            <v>SK Dobré</v>
          </cell>
          <cell r="D54">
            <v>1999</v>
          </cell>
        </row>
        <row r="55">
          <cell r="A55">
            <v>51</v>
          </cell>
          <cell r="B55" t="str">
            <v>Kulichová Jana</v>
          </cell>
          <cell r="C55" t="str">
            <v>STC Slaný</v>
          </cell>
          <cell r="D55">
            <v>1998</v>
          </cell>
        </row>
        <row r="56">
          <cell r="A56">
            <v>52</v>
          </cell>
          <cell r="B56" t="str">
            <v>Matoušová Aneta</v>
          </cell>
          <cell r="C56" t="str">
            <v>TJ Hrádek</v>
          </cell>
          <cell r="D56">
            <v>2002</v>
          </cell>
        </row>
        <row r="57">
          <cell r="A57">
            <v>53</v>
          </cell>
          <cell r="B57" t="str">
            <v>Sojková Jitka</v>
          </cell>
          <cell r="C57" t="str">
            <v>TJ Sokol Chlístovice</v>
          </cell>
          <cell r="D57">
            <v>1998</v>
          </cell>
        </row>
        <row r="58">
          <cell r="A58">
            <v>54</v>
          </cell>
          <cell r="B58" t="str">
            <v>Šprtová Karolína</v>
          </cell>
          <cell r="C58" t="str">
            <v>SKST Hodonín</v>
          </cell>
          <cell r="D58">
            <v>1999</v>
          </cell>
        </row>
        <row r="59">
          <cell r="A59">
            <v>55</v>
          </cell>
          <cell r="B59" t="str">
            <v>Synková Markéta</v>
          </cell>
          <cell r="C59" t="str">
            <v>Sokol Děhylov</v>
          </cell>
          <cell r="D59">
            <v>2001</v>
          </cell>
        </row>
        <row r="60">
          <cell r="A60">
            <v>56</v>
          </cell>
          <cell r="B60" t="str">
            <v>Nováková Kristýna</v>
          </cell>
          <cell r="C60" t="str">
            <v>TJ Sokol Chrudim</v>
          </cell>
          <cell r="D60">
            <v>1999</v>
          </cell>
        </row>
        <row r="61">
          <cell r="A61">
            <v>57</v>
          </cell>
          <cell r="B61" t="str">
            <v>Kotková Daniela</v>
          </cell>
          <cell r="C61" t="str">
            <v>SK Frýdlant nad Ostravicí</v>
          </cell>
          <cell r="D61">
            <v>2000</v>
          </cell>
        </row>
        <row r="62">
          <cell r="A62">
            <v>58</v>
          </cell>
          <cell r="B62" t="str">
            <v>Vávrová Ivana</v>
          </cell>
          <cell r="C62" t="str">
            <v>TJ Slavoj Praha</v>
          </cell>
          <cell r="D62">
            <v>1998</v>
          </cell>
        </row>
        <row r="63">
          <cell r="A63">
            <v>59</v>
          </cell>
          <cell r="B63" t="str">
            <v>Cimrmanová Eliška</v>
          </cell>
          <cell r="C63" t="str">
            <v>TSM Kladno</v>
          </cell>
          <cell r="D63">
            <v>2002</v>
          </cell>
        </row>
        <row r="64">
          <cell r="A64">
            <v>60</v>
          </cell>
          <cell r="B64" t="str">
            <v>Komárková Kateřina</v>
          </cell>
          <cell r="C64" t="str">
            <v>SK Přerov</v>
          </cell>
          <cell r="D64">
            <v>2000</v>
          </cell>
        </row>
        <row r="65">
          <cell r="A65">
            <v>61</v>
          </cell>
          <cell r="B65" t="str">
            <v>Jánská Veronika</v>
          </cell>
          <cell r="C65" t="str">
            <v>TJ Jiskra Aš</v>
          </cell>
          <cell r="D65">
            <v>2000</v>
          </cell>
        </row>
        <row r="66">
          <cell r="A66">
            <v>62</v>
          </cell>
          <cell r="B66" t="str">
            <v>Absolonová Marie</v>
          </cell>
          <cell r="C66" t="str">
            <v>SKST Liberec</v>
          </cell>
          <cell r="D66">
            <v>2000</v>
          </cell>
        </row>
        <row r="67">
          <cell r="A67">
            <v>63</v>
          </cell>
          <cell r="B67" t="str">
            <v>Procházková Šárka</v>
          </cell>
          <cell r="C67" t="str">
            <v>KST ZŠ Vyšší Brod</v>
          </cell>
          <cell r="D67">
            <v>2002</v>
          </cell>
        </row>
        <row r="68">
          <cell r="A68">
            <v>64</v>
          </cell>
          <cell r="B68" t="str">
            <v>Véghová Viola</v>
          </cell>
          <cell r="C68" t="str">
            <v>SK Přerov</v>
          </cell>
          <cell r="D68">
            <v>2000</v>
          </cell>
        </row>
        <row r="69">
          <cell r="A69">
            <v>65</v>
          </cell>
          <cell r="B69" t="str">
            <v>Rozkydalová Eliška</v>
          </cell>
          <cell r="C69" t="str">
            <v>SK Frýdlant nad Ostravicí</v>
          </cell>
          <cell r="D69">
            <v>2002</v>
          </cell>
        </row>
        <row r="70">
          <cell r="A70">
            <v>66</v>
          </cell>
          <cell r="B70" t="str">
            <v>Malíková Klára</v>
          </cell>
          <cell r="C70" t="str">
            <v>KST Hluk</v>
          </cell>
          <cell r="D70">
            <v>2002</v>
          </cell>
        </row>
        <row r="71">
          <cell r="A71">
            <v>67</v>
          </cell>
          <cell r="B71" t="str">
            <v>Uvírová Nela</v>
          </cell>
          <cell r="C71" t="str">
            <v>Sokol Kateřinky</v>
          </cell>
          <cell r="D71">
            <v>2000</v>
          </cell>
        </row>
        <row r="72">
          <cell r="A72">
            <v>68</v>
          </cell>
          <cell r="B72" t="str">
            <v>Lungová Michaela</v>
          </cell>
          <cell r="C72" t="str">
            <v>SKST Dubňany</v>
          </cell>
          <cell r="D72">
            <v>2002</v>
          </cell>
        </row>
        <row r="73">
          <cell r="A73">
            <v>69</v>
          </cell>
          <cell r="B73" t="str">
            <v>Kohlmanová Aneta</v>
          </cell>
          <cell r="C73" t="str">
            <v>AC Sparta Praha</v>
          </cell>
          <cell r="D73">
            <v>2001</v>
          </cell>
        </row>
        <row r="74">
          <cell r="A74">
            <v>70</v>
          </cell>
          <cell r="B74" t="str">
            <v>Fronová Sabina</v>
          </cell>
          <cell r="C74" t="str">
            <v>TJ Sokol Děhylov</v>
          </cell>
          <cell r="D74">
            <v>2001</v>
          </cell>
        </row>
        <row r="75">
          <cell r="A75">
            <v>71</v>
          </cell>
          <cell r="B75" t="str">
            <v>Růžičková Kristýna</v>
          </cell>
          <cell r="C75" t="str">
            <v>TJ Spartak Kaplice</v>
          </cell>
          <cell r="D75">
            <v>1999</v>
          </cell>
        </row>
        <row r="76">
          <cell r="A76">
            <v>72</v>
          </cell>
          <cell r="B76" t="str">
            <v>Melnyková Liana</v>
          </cell>
          <cell r="C76" t="str">
            <v>TJ Sokol Plzeň V.</v>
          </cell>
          <cell r="D76">
            <v>1998</v>
          </cell>
        </row>
        <row r="77">
          <cell r="A77">
            <v>73</v>
          </cell>
          <cell r="B77" t="str">
            <v>Janoušová Petra</v>
          </cell>
          <cell r="C77" t="str">
            <v>TJ Sokol Plzeň V.</v>
          </cell>
          <cell r="D77">
            <v>1999</v>
          </cell>
        </row>
        <row r="78">
          <cell r="A78">
            <v>74</v>
          </cell>
        </row>
        <row r="79">
          <cell r="A79">
            <v>75</v>
          </cell>
          <cell r="B79" t="str">
            <v>Michálková Jana</v>
          </cell>
          <cell r="C79" t="str">
            <v>Sokol Studená</v>
          </cell>
          <cell r="D79">
            <v>1999</v>
          </cell>
        </row>
        <row r="80">
          <cell r="A80">
            <v>76</v>
          </cell>
          <cell r="B80" t="str">
            <v>Bašková Markéta</v>
          </cell>
          <cell r="C80" t="str">
            <v>TJ Sokol Jaroměř-Josefov</v>
          </cell>
          <cell r="D80">
            <v>2001</v>
          </cell>
        </row>
        <row r="81">
          <cell r="A81">
            <v>77</v>
          </cell>
          <cell r="B81" t="str">
            <v>Cerovská Nikol</v>
          </cell>
          <cell r="C81" t="str">
            <v>MSK Břeclav</v>
          </cell>
          <cell r="D81">
            <v>1998</v>
          </cell>
        </row>
        <row r="82">
          <cell r="A82">
            <v>78</v>
          </cell>
          <cell r="B82" t="str">
            <v>Dvořáková Anna</v>
          </cell>
          <cell r="C82" t="str">
            <v>TJ Avia Čakovice</v>
          </cell>
          <cell r="D82">
            <v>2000</v>
          </cell>
        </row>
        <row r="83">
          <cell r="A83">
            <v>79</v>
          </cell>
          <cell r="B83" t="str">
            <v>Kladňáková Hana</v>
          </cell>
          <cell r="C83" t="str">
            <v>SKST Dubňany</v>
          </cell>
          <cell r="D83">
            <v>2002</v>
          </cell>
        </row>
        <row r="84">
          <cell r="A84">
            <v>80</v>
          </cell>
          <cell r="B84" t="str">
            <v>Šebková Kristýna</v>
          </cell>
          <cell r="C84" t="str">
            <v>TJ Union Plzeň</v>
          </cell>
          <cell r="D84">
            <v>2001</v>
          </cell>
        </row>
        <row r="85">
          <cell r="A85">
            <v>81</v>
          </cell>
          <cell r="B85" t="str">
            <v>Mrázková Lia</v>
          </cell>
          <cell r="C85" t="str">
            <v>Slovan Bohnice</v>
          </cell>
          <cell r="D85">
            <v>2002</v>
          </cell>
        </row>
        <row r="86">
          <cell r="A86">
            <v>82</v>
          </cell>
          <cell r="B86" t="str">
            <v>Kurajská Tereza</v>
          </cell>
          <cell r="C86" t="str">
            <v>SK Frýdlant nad Ostravicí</v>
          </cell>
          <cell r="D86">
            <v>2001</v>
          </cell>
        </row>
        <row r="87">
          <cell r="A87">
            <v>83</v>
          </cell>
          <cell r="B87" t="str">
            <v>Kuličová Aneta</v>
          </cell>
          <cell r="C87" t="str">
            <v>TJ Sokol PP Hradec Králové 2</v>
          </cell>
          <cell r="D87">
            <v>2002</v>
          </cell>
        </row>
        <row r="88">
          <cell r="A88">
            <v>84</v>
          </cell>
          <cell r="B88" t="str">
            <v>Nykodýmová Natálie</v>
          </cell>
          <cell r="C88" t="str">
            <v>TJ Jiskra Nový Bor</v>
          </cell>
          <cell r="D88">
            <v>2002</v>
          </cell>
        </row>
        <row r="89">
          <cell r="A89">
            <v>85</v>
          </cell>
          <cell r="B89" t="str">
            <v>Bačinová Pavla</v>
          </cell>
          <cell r="C89" t="str">
            <v>SK Dobré</v>
          </cell>
          <cell r="D89">
            <v>2002</v>
          </cell>
        </row>
        <row r="90">
          <cell r="A90">
            <v>86</v>
          </cell>
          <cell r="B90" t="str">
            <v>Vodáková Aneta</v>
          </cell>
          <cell r="C90" t="str">
            <v>TJ Sokol Klobouky u Brna</v>
          </cell>
          <cell r="D90">
            <v>2000</v>
          </cell>
        </row>
        <row r="91">
          <cell r="A91">
            <v>87</v>
          </cell>
          <cell r="B91" t="str">
            <v>Zemánková Veronika</v>
          </cell>
          <cell r="C91" t="str">
            <v>KST Blansko</v>
          </cell>
          <cell r="D91">
            <v>1998</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46</v>
          </cell>
        </row>
      </sheetData>
      <sheetData sheetId="14">
        <row r="10">
          <cell r="C10" t="str">
            <v>Sazimová Terezie</v>
          </cell>
          <cell r="F10" t="str">
            <v>bye</v>
          </cell>
          <cell r="P10" t="str">
            <v/>
          </cell>
          <cell r="Q10" t="str">
            <v/>
          </cell>
          <cell r="S10" t="str">
            <v/>
          </cell>
        </row>
        <row r="11">
          <cell r="C11" t="str">
            <v>Šprtová Karolína</v>
          </cell>
          <cell r="F11" t="str">
            <v>Vodáková Aneta</v>
          </cell>
          <cell r="P11">
            <v>54</v>
          </cell>
          <cell r="Q11" t="str">
            <v>Šprtová Karolína</v>
          </cell>
          <cell r="S11" t="str">
            <v>3:0 (5,7,9)</v>
          </cell>
        </row>
        <row r="12">
          <cell r="C12" t="str">
            <v>Daňová Barbora</v>
          </cell>
          <cell r="F12" t="str">
            <v>Cerovská Nikol</v>
          </cell>
          <cell r="P12">
            <v>30</v>
          </cell>
          <cell r="Q12" t="str">
            <v>Daňová Barbora</v>
          </cell>
          <cell r="S12" t="str">
            <v>3:0 (7,7,9)</v>
          </cell>
        </row>
        <row r="13">
          <cell r="C13" t="str">
            <v>bye</v>
          </cell>
          <cell r="F13" t="str">
            <v>Bošinová Aneta</v>
          </cell>
          <cell r="P13" t="str">
            <v/>
          </cell>
          <cell r="Q13" t="str">
            <v/>
          </cell>
          <cell r="S13" t="str">
            <v/>
          </cell>
        </row>
        <row r="14">
          <cell r="C14" t="str">
            <v>Koblovská Dominika</v>
          </cell>
          <cell r="F14" t="str">
            <v>bye</v>
          </cell>
          <cell r="P14" t="str">
            <v/>
          </cell>
          <cell r="Q14" t="str">
            <v/>
          </cell>
          <cell r="S14" t="str">
            <v/>
          </cell>
        </row>
        <row r="15">
          <cell r="C15" t="str">
            <v>Štricová Niamh</v>
          </cell>
          <cell r="F15" t="str">
            <v>Janoušová Petra</v>
          </cell>
          <cell r="P15">
            <v>39</v>
          </cell>
          <cell r="Q15" t="str">
            <v>Štricová Niamh</v>
          </cell>
          <cell r="S15" t="str">
            <v>3:0 (3,6,9)</v>
          </cell>
        </row>
        <row r="16">
          <cell r="C16" t="str">
            <v>Synková Kristýna</v>
          </cell>
          <cell r="F16" t="str">
            <v>Véghová Viola</v>
          </cell>
          <cell r="P16">
            <v>33</v>
          </cell>
          <cell r="Q16" t="str">
            <v>Synková Kristýna</v>
          </cell>
          <cell r="S16" t="str">
            <v>3:1 (-8,3,8,8)</v>
          </cell>
        </row>
        <row r="17">
          <cell r="C17" t="str">
            <v>bye</v>
          </cell>
          <cell r="F17" t="str">
            <v>Beranová Sára</v>
          </cell>
          <cell r="P17" t="str">
            <v/>
          </cell>
          <cell r="Q17" t="str">
            <v/>
          </cell>
          <cell r="S17" t="str">
            <v/>
          </cell>
        </row>
        <row r="18">
          <cell r="C18" t="str">
            <v>Zelingrová Kamila</v>
          </cell>
          <cell r="F18" t="str">
            <v>bye</v>
          </cell>
          <cell r="P18" t="str">
            <v/>
          </cell>
          <cell r="Q18" t="str">
            <v/>
          </cell>
          <cell r="S18" t="str">
            <v/>
          </cell>
        </row>
        <row r="19">
          <cell r="C19" t="str">
            <v>Janoušová Pavla</v>
          </cell>
          <cell r="F19" t="str">
            <v>Jirásková Tereza</v>
          </cell>
          <cell r="P19">
            <v>32</v>
          </cell>
          <cell r="Q19" t="str">
            <v>Jirásková Tereza</v>
          </cell>
          <cell r="S19" t="str">
            <v>wo</v>
          </cell>
        </row>
        <row r="20">
          <cell r="C20" t="str">
            <v>Cacková Tereza</v>
          </cell>
          <cell r="F20" t="str">
            <v>bye</v>
          </cell>
          <cell r="P20" t="str">
            <v/>
          </cell>
          <cell r="Q20" t="str">
            <v/>
          </cell>
          <cell r="S20" t="str">
            <v/>
          </cell>
        </row>
        <row r="21">
          <cell r="C21" t="str">
            <v>bye</v>
          </cell>
          <cell r="F21" t="str">
            <v>Stránská Anna</v>
          </cell>
          <cell r="P21" t="str">
            <v/>
          </cell>
          <cell r="Q21" t="str">
            <v/>
          </cell>
          <cell r="S21" t="str">
            <v/>
          </cell>
        </row>
        <row r="22">
          <cell r="C22" t="str">
            <v>Pytlíková Tereza</v>
          </cell>
          <cell r="F22" t="str">
            <v>bye</v>
          </cell>
          <cell r="P22" t="str">
            <v/>
          </cell>
          <cell r="Q22" t="str">
            <v/>
          </cell>
          <cell r="S22" t="str">
            <v/>
          </cell>
        </row>
        <row r="23">
          <cell r="F23" t="str">
            <v>Hejzlarová Lucie</v>
          </cell>
          <cell r="P23">
            <v>52</v>
          </cell>
          <cell r="Q23" t="str">
            <v>Matoušová Aneta</v>
          </cell>
          <cell r="S23" t="str">
            <v>3:0 (8,7,6)</v>
          </cell>
        </row>
        <row r="24">
          <cell r="C24" t="str">
            <v>Cimrmanová Eliška</v>
          </cell>
          <cell r="F24" t="str">
            <v>Nykodýmová Natálie</v>
          </cell>
          <cell r="P24">
            <v>59</v>
          </cell>
          <cell r="Q24" t="str">
            <v>Cimrmanová Eliška</v>
          </cell>
          <cell r="S24" t="str">
            <v>wo</v>
          </cell>
        </row>
        <row r="25">
          <cell r="C25" t="str">
            <v>bye</v>
          </cell>
          <cell r="F25" t="str">
            <v>Rusnáková Markéta</v>
          </cell>
          <cell r="P25" t="str">
            <v/>
          </cell>
          <cell r="Q25" t="str">
            <v/>
          </cell>
          <cell r="S25" t="str">
            <v/>
          </cell>
        </row>
        <row r="26">
          <cell r="C26" t="str">
            <v>Polívková Barbora</v>
          </cell>
          <cell r="F26" t="str">
            <v>bye</v>
          </cell>
          <cell r="P26" t="str">
            <v/>
          </cell>
          <cell r="Q26" t="str">
            <v/>
          </cell>
          <cell r="S26" t="str">
            <v/>
          </cell>
        </row>
        <row r="27">
          <cell r="C27" t="str">
            <v>Malíková Klára</v>
          </cell>
          <cell r="F27" t="str">
            <v>Melnyková Liana</v>
          </cell>
          <cell r="P27">
            <v>72</v>
          </cell>
          <cell r="Q27" t="str">
            <v>Melnyková Liana</v>
          </cell>
          <cell r="S27" t="str">
            <v>wo</v>
          </cell>
        </row>
        <row r="28">
          <cell r="C28" t="str">
            <v>Kuličová Aneta</v>
          </cell>
          <cell r="F28" t="str">
            <v>Melicharová Iveta</v>
          </cell>
          <cell r="P28">
            <v>47</v>
          </cell>
          <cell r="Q28" t="str">
            <v>Melicharová Iveta</v>
          </cell>
          <cell r="S28" t="str">
            <v>wo</v>
          </cell>
        </row>
        <row r="29">
          <cell r="C29" t="str">
            <v>bye</v>
          </cell>
          <cell r="F29" t="str">
            <v>Sedláčková Tereza</v>
          </cell>
          <cell r="P29" t="str">
            <v/>
          </cell>
          <cell r="Q29" t="str">
            <v/>
          </cell>
          <cell r="S29" t="str">
            <v/>
          </cell>
        </row>
        <row r="30">
          <cell r="C30" t="str">
            <v>Jemelíková Alice</v>
          </cell>
          <cell r="F30" t="str">
            <v>bye</v>
          </cell>
          <cell r="P30" t="str">
            <v/>
          </cell>
          <cell r="Q30" t="str">
            <v/>
          </cell>
          <cell r="S30" t="str">
            <v/>
          </cell>
        </row>
        <row r="31">
          <cell r="C31" t="str">
            <v>bye</v>
          </cell>
          <cell r="F31" t="str">
            <v>Bačinová Pavla</v>
          </cell>
          <cell r="P31" t="str">
            <v/>
          </cell>
          <cell r="Q31" t="str">
            <v/>
          </cell>
          <cell r="S31" t="str">
            <v/>
          </cell>
        </row>
        <row r="32">
          <cell r="C32" t="str">
            <v>Komárková Kateřina</v>
          </cell>
          <cell r="F32" t="str">
            <v>Fronová Sabina</v>
          </cell>
          <cell r="P32">
            <v>70</v>
          </cell>
          <cell r="Q32" t="str">
            <v>Fronová Sabina</v>
          </cell>
          <cell r="S32" t="str">
            <v>3:2 (-2,-8,4,8,8)</v>
          </cell>
        </row>
        <row r="33">
          <cell r="C33" t="str">
            <v>bye</v>
          </cell>
          <cell r="F33" t="str">
            <v>Blechová Barbora</v>
          </cell>
          <cell r="P33" t="str">
            <v/>
          </cell>
          <cell r="Q33" t="str">
            <v/>
          </cell>
          <cell r="S33" t="str">
            <v/>
          </cell>
        </row>
        <row r="34">
          <cell r="C34" t="str">
            <v/>
          </cell>
          <cell r="F34" t="str">
            <v/>
          </cell>
          <cell r="P34" t="str">
            <v/>
          </cell>
          <cell r="Q34" t="str">
            <v/>
          </cell>
          <cell r="S34" t="str">
            <v/>
          </cell>
        </row>
        <row r="35">
          <cell r="C35" t="str">
            <v>Štěpánová Gabriela</v>
          </cell>
          <cell r="F35" t="str">
            <v>Lajdová Karolína</v>
          </cell>
          <cell r="P35">
            <v>13</v>
          </cell>
          <cell r="Q35" t="str">
            <v>Štěpánová Gabriela</v>
          </cell>
          <cell r="S35" t="str">
            <v>3:1 (7,-6,8,11)</v>
          </cell>
        </row>
        <row r="36">
          <cell r="C36" t="str">
            <v>Kotková Daniela</v>
          </cell>
          <cell r="F36" t="str">
            <v>Viktorínová Michaela</v>
          </cell>
          <cell r="P36">
            <v>24</v>
          </cell>
          <cell r="Q36" t="str">
            <v>Viktorínová Michaela</v>
          </cell>
          <cell r="S36" t="str">
            <v>3:0 (4,10,5)</v>
          </cell>
        </row>
        <row r="37">
          <cell r="C37" t="str">
            <v>Allertová Sára</v>
          </cell>
          <cell r="F37" t="str">
            <v>Nováková Martina</v>
          </cell>
          <cell r="P37">
            <v>23</v>
          </cell>
          <cell r="Q37" t="str">
            <v>Allertová Sára</v>
          </cell>
          <cell r="S37" t="str">
            <v>3:1 (-7,11,9,9)</v>
          </cell>
        </row>
        <row r="38">
          <cell r="C38" t="str">
            <v>Šiblová Sára</v>
          </cell>
          <cell r="F38" t="str">
            <v>Hnátková Barbora</v>
          </cell>
          <cell r="P38">
            <v>41</v>
          </cell>
          <cell r="Q38" t="str">
            <v>Šiblová Sára</v>
          </cell>
          <cell r="S38" t="str">
            <v>3:1 (8,-17,10,6)</v>
          </cell>
        </row>
        <row r="39">
          <cell r="C39" t="str">
            <v>Sazimová Terezie</v>
          </cell>
          <cell r="F39" t="str">
            <v>Šprtová Karolína</v>
          </cell>
          <cell r="P39">
            <v>54</v>
          </cell>
          <cell r="Q39" t="str">
            <v>Šprtová Karolína</v>
          </cell>
          <cell r="S39" t="str">
            <v>3:2 (9,-8,9,-12,9)</v>
          </cell>
        </row>
        <row r="40">
          <cell r="C40" t="str">
            <v>Daňová Barbora</v>
          </cell>
          <cell r="F40" t="str">
            <v>Bošinová Aneta</v>
          </cell>
          <cell r="P40">
            <v>28</v>
          </cell>
          <cell r="Q40" t="str">
            <v>Bošinová Aneta</v>
          </cell>
          <cell r="S40" t="str">
            <v>3:1 (7,-9,8,9)</v>
          </cell>
        </row>
        <row r="41">
          <cell r="C41" t="str">
            <v>Koblovská Dominika</v>
          </cell>
          <cell r="F41" t="str">
            <v>Štricová Niamh</v>
          </cell>
          <cell r="P41">
            <v>39</v>
          </cell>
          <cell r="Q41" t="str">
            <v>Štricová Niamh</v>
          </cell>
          <cell r="S41" t="str">
            <v>3:1 (-7,5,9,8)</v>
          </cell>
        </row>
        <row r="42">
          <cell r="C42" t="str">
            <v>Synková Kristýna</v>
          </cell>
          <cell r="F42" t="str">
            <v>Beranová Sára</v>
          </cell>
          <cell r="P42">
            <v>15</v>
          </cell>
          <cell r="Q42" t="str">
            <v>Beranová Sára</v>
          </cell>
          <cell r="S42" t="str">
            <v>3:1 (10,-4,9,6)</v>
          </cell>
        </row>
        <row r="43">
          <cell r="C43" t="str">
            <v>Zelingrová Kamila</v>
          </cell>
          <cell r="F43" t="str">
            <v>Jirásková Tereza</v>
          </cell>
          <cell r="P43">
            <v>32</v>
          </cell>
          <cell r="Q43" t="str">
            <v>Jirásková Tereza</v>
          </cell>
          <cell r="S43" t="str">
            <v>3:1 (8,7,-11,7)</v>
          </cell>
        </row>
        <row r="44">
          <cell r="C44" t="str">
            <v>Cacková Tereza</v>
          </cell>
          <cell r="F44" t="str">
            <v>Stránská Anna</v>
          </cell>
          <cell r="P44">
            <v>22</v>
          </cell>
          <cell r="Q44" t="str">
            <v>Stránská Anna</v>
          </cell>
          <cell r="S44" t="str">
            <v>3:1 (-9,6,5,8)</v>
          </cell>
        </row>
        <row r="45">
          <cell r="C45" t="str">
            <v>Pytlíková Tereza</v>
          </cell>
          <cell r="F45" t="str">
            <v>Matoušová Aneta</v>
          </cell>
          <cell r="P45">
            <v>27</v>
          </cell>
          <cell r="Q45" t="str">
            <v>Pytlíková Tereza</v>
          </cell>
          <cell r="S45" t="str">
            <v>3:1 (3,-6,7,10)</v>
          </cell>
        </row>
        <row r="46">
          <cell r="C46" t="str">
            <v>Cimrmanová Eliška</v>
          </cell>
          <cell r="F46" t="str">
            <v>Rusnáková Markéta</v>
          </cell>
          <cell r="P46">
            <v>19</v>
          </cell>
          <cell r="Q46" t="str">
            <v>Rusnáková Markéta</v>
          </cell>
          <cell r="S46" t="str">
            <v>3:0 (9,6,3)</v>
          </cell>
        </row>
        <row r="47">
          <cell r="C47" t="str">
            <v>Polívková Barbora</v>
          </cell>
          <cell r="F47" t="str">
            <v>Melnyková Liana</v>
          </cell>
          <cell r="P47">
            <v>18</v>
          </cell>
          <cell r="Q47" t="str">
            <v>Polívková Barbora</v>
          </cell>
          <cell r="S47" t="str">
            <v>3:0 (4,7,7)</v>
          </cell>
        </row>
        <row r="48">
          <cell r="C48" t="str">
            <v>Melicharová Iveta</v>
          </cell>
          <cell r="F48" t="str">
            <v>Sedláčková Tereza</v>
          </cell>
          <cell r="P48">
            <v>29</v>
          </cell>
          <cell r="Q48" t="str">
            <v>Sedláčková Tereza</v>
          </cell>
          <cell r="S48" t="str">
            <v>3:2 (-6,11,-8,4,4)</v>
          </cell>
        </row>
        <row r="49">
          <cell r="C49" t="str">
            <v>Jemelíková Alice</v>
          </cell>
          <cell r="F49" t="str">
            <v>Bačinová Pavla</v>
          </cell>
          <cell r="P49">
            <v>85</v>
          </cell>
          <cell r="Q49" t="str">
            <v>Bačinová Pavla</v>
          </cell>
          <cell r="S49" t="str">
            <v>3:1 (-11,9,8,10)</v>
          </cell>
        </row>
        <row r="50">
          <cell r="C50" t="str">
            <v>Fronová Sabina</v>
          </cell>
          <cell r="F50" t="str">
            <v>Blechová Barbora</v>
          </cell>
          <cell r="P50">
            <v>14</v>
          </cell>
          <cell r="Q50" t="str">
            <v>Blechová Barbora</v>
          </cell>
          <cell r="S50" t="str">
            <v>3:0 (6,6,4)</v>
          </cell>
        </row>
        <row r="51">
          <cell r="C51" t="str">
            <v/>
          </cell>
          <cell r="F51" t="str">
            <v/>
          </cell>
          <cell r="P51" t="str">
            <v/>
          </cell>
          <cell r="Q51" t="str">
            <v/>
          </cell>
          <cell r="S51" t="str">
            <v/>
          </cell>
        </row>
        <row r="52">
          <cell r="C52" t="str">
            <v>Štěpánová Gabriela</v>
          </cell>
          <cell r="F52" t="str">
            <v>Viktorínová Michaela</v>
          </cell>
          <cell r="P52">
            <v>24</v>
          </cell>
          <cell r="Q52" t="str">
            <v>Viktorínová Michaela</v>
          </cell>
          <cell r="S52" t="str">
            <v>3:2 (14,-7,8,-9,11)</v>
          </cell>
        </row>
        <row r="53">
          <cell r="C53" t="str">
            <v>Allertová Sára</v>
          </cell>
          <cell r="F53" t="str">
            <v>Šiblová Sára</v>
          </cell>
          <cell r="P53">
            <v>41</v>
          </cell>
          <cell r="Q53" t="str">
            <v>Šiblová Sára</v>
          </cell>
          <cell r="S53" t="str">
            <v>3:2 (-6,10,10,-7,9)</v>
          </cell>
        </row>
        <row r="54">
          <cell r="C54" t="str">
            <v>Šprtová Karolína</v>
          </cell>
          <cell r="F54" t="str">
            <v>Bošinová Aneta</v>
          </cell>
          <cell r="P54">
            <v>28</v>
          </cell>
          <cell r="Q54" t="str">
            <v>Bošinová Aneta</v>
          </cell>
          <cell r="S54" t="str">
            <v>3:1 (8,3,-9,13)</v>
          </cell>
        </row>
        <row r="55">
          <cell r="C55" t="str">
            <v>Štricová Niamh</v>
          </cell>
          <cell r="F55" t="str">
            <v>Beranová Sára</v>
          </cell>
          <cell r="P55">
            <v>15</v>
          </cell>
          <cell r="Q55" t="str">
            <v>Beranová Sára</v>
          </cell>
          <cell r="S55" t="str">
            <v>3:2 (-8,4,-8,6,5)</v>
          </cell>
        </row>
        <row r="56">
          <cell r="C56" t="str">
            <v>Jirásková Tereza</v>
          </cell>
          <cell r="F56" t="str">
            <v>Stránská Anna</v>
          </cell>
          <cell r="P56">
            <v>32</v>
          </cell>
          <cell r="Q56" t="str">
            <v>Jirásková Tereza</v>
          </cell>
          <cell r="S56" t="str">
            <v>3:1 (1,4,-10,9)</v>
          </cell>
        </row>
        <row r="57">
          <cell r="C57" t="str">
            <v>Pytlíková Tereza</v>
          </cell>
          <cell r="F57" t="str">
            <v>Rusnáková Markéta</v>
          </cell>
          <cell r="P57">
            <v>19</v>
          </cell>
          <cell r="Q57" t="str">
            <v>Rusnáková Markéta</v>
          </cell>
          <cell r="S57" t="str">
            <v>3:2 (-5,7,-9,12,7)</v>
          </cell>
        </row>
        <row r="58">
          <cell r="C58" t="str">
            <v>Polívková Barbora</v>
          </cell>
          <cell r="F58" t="str">
            <v>Sedláčková Tereza</v>
          </cell>
          <cell r="P58">
            <v>18</v>
          </cell>
          <cell r="Q58" t="str">
            <v>Polívková Barbora</v>
          </cell>
          <cell r="S58" t="str">
            <v>3:0 (9,11,10)</v>
          </cell>
        </row>
        <row r="59">
          <cell r="C59" t="str">
            <v>Bačinová Pavla</v>
          </cell>
          <cell r="F59" t="str">
            <v>Blechová Barbora</v>
          </cell>
          <cell r="P59">
            <v>14</v>
          </cell>
          <cell r="Q59" t="str">
            <v>Blechová Barbora</v>
          </cell>
          <cell r="S59" t="str">
            <v>3:0 (7,3,7)</v>
          </cell>
        </row>
        <row r="60">
          <cell r="C60" t="str">
            <v/>
          </cell>
          <cell r="F60" t="str">
            <v/>
          </cell>
          <cell r="P60" t="str">
            <v/>
          </cell>
          <cell r="Q60" t="str">
            <v/>
          </cell>
          <cell r="S60" t="str">
            <v/>
          </cell>
        </row>
        <row r="61">
          <cell r="C61" t="str">
            <v/>
          </cell>
          <cell r="F61" t="str">
            <v/>
          </cell>
          <cell r="P61" t="str">
            <v/>
          </cell>
          <cell r="Q61" t="str">
            <v/>
          </cell>
          <cell r="S61" t="str">
            <v/>
          </cell>
        </row>
        <row r="62">
          <cell r="C62" t="str">
            <v/>
          </cell>
          <cell r="F62" t="str">
            <v/>
          </cell>
          <cell r="P62" t="str">
            <v/>
          </cell>
          <cell r="Q62" t="str">
            <v/>
          </cell>
          <cell r="S62" t="str">
            <v/>
          </cell>
        </row>
        <row r="63">
          <cell r="C63" t="str">
            <v/>
          </cell>
          <cell r="F63" t="str">
            <v/>
          </cell>
          <cell r="P63" t="str">
            <v/>
          </cell>
          <cell r="Q63" t="str">
            <v/>
          </cell>
          <cell r="S63" t="str">
            <v/>
          </cell>
        </row>
        <row r="64">
          <cell r="C64" t="str">
            <v/>
          </cell>
          <cell r="F64" t="str">
            <v/>
          </cell>
          <cell r="P64" t="str">
            <v/>
          </cell>
          <cell r="Q64" t="str">
            <v/>
          </cell>
          <cell r="S64" t="str">
            <v/>
          </cell>
        </row>
        <row r="65">
          <cell r="C65" t="str">
            <v/>
          </cell>
          <cell r="F65" t="str">
            <v/>
          </cell>
          <cell r="P65" t="str">
            <v/>
          </cell>
          <cell r="Q65" t="str">
            <v/>
          </cell>
          <cell r="S65" t="str">
            <v/>
          </cell>
        </row>
        <row r="71">
          <cell r="P71" t="str">
            <v/>
          </cell>
          <cell r="Q71" t="str">
            <v/>
          </cell>
          <cell r="S71" t="str">
            <v/>
          </cell>
        </row>
        <row r="72">
          <cell r="P72" t="str">
            <v/>
          </cell>
          <cell r="Q72" t="str">
            <v/>
          </cell>
          <cell r="S72" t="str">
            <v/>
          </cell>
        </row>
        <row r="73">
          <cell r="P73" t="str">
            <v/>
          </cell>
          <cell r="Q73" t="str">
            <v/>
          </cell>
          <cell r="S73" t="str">
            <v/>
          </cell>
        </row>
        <row r="74">
          <cell r="P74" t="str">
            <v/>
          </cell>
          <cell r="Q74" t="str">
            <v/>
          </cell>
          <cell r="S74" t="str">
            <v/>
          </cell>
        </row>
        <row r="75">
          <cell r="P75" t="str">
            <v/>
          </cell>
          <cell r="Q75" t="str">
            <v/>
          </cell>
          <cell r="S75" t="str">
            <v/>
          </cell>
        </row>
        <row r="76">
          <cell r="P76" t="str">
            <v/>
          </cell>
          <cell r="Q76" t="str">
            <v/>
          </cell>
          <cell r="S76" t="str">
            <v/>
          </cell>
        </row>
        <row r="77">
          <cell r="P77" t="str">
            <v/>
          </cell>
          <cell r="Q77" t="str">
            <v/>
          </cell>
          <cell r="S77" t="str">
            <v/>
          </cell>
        </row>
        <row r="78">
          <cell r="P78" t="str">
            <v/>
          </cell>
          <cell r="Q78" t="str">
            <v/>
          </cell>
          <cell r="S78" t="str">
            <v/>
          </cell>
        </row>
        <row r="79">
          <cell r="P79" t="str">
            <v/>
          </cell>
          <cell r="Q79" t="str">
            <v/>
          </cell>
          <cell r="S79" t="str">
            <v/>
          </cell>
        </row>
        <row r="80">
          <cell r="P80" t="str">
            <v/>
          </cell>
          <cell r="Q80" t="str">
            <v/>
          </cell>
          <cell r="S80" t="str">
            <v/>
          </cell>
        </row>
        <row r="81">
          <cell r="P81" t="str">
            <v/>
          </cell>
          <cell r="Q81" t="str">
            <v/>
          </cell>
          <cell r="S81" t="str">
            <v/>
          </cell>
        </row>
        <row r="82">
          <cell r="P82" t="str">
            <v/>
          </cell>
          <cell r="Q82" t="str">
            <v/>
          </cell>
          <cell r="S82" t="str">
            <v/>
          </cell>
        </row>
        <row r="83">
          <cell r="P83" t="str">
            <v/>
          </cell>
          <cell r="Q83" t="str">
            <v/>
          </cell>
          <cell r="S83" t="str">
            <v/>
          </cell>
        </row>
        <row r="84">
          <cell r="P84" t="str">
            <v/>
          </cell>
          <cell r="Q84" t="str">
            <v/>
          </cell>
          <cell r="S84" t="str">
            <v/>
          </cell>
        </row>
        <row r="85">
          <cell r="P85" t="str">
            <v/>
          </cell>
          <cell r="Q85" t="str">
            <v/>
          </cell>
          <cell r="S85" t="str">
            <v/>
          </cell>
        </row>
        <row r="86">
          <cell r="P86" t="str">
            <v/>
          </cell>
          <cell r="Q86" t="str">
            <v/>
          </cell>
          <cell r="S86" t="str">
            <v/>
          </cell>
        </row>
        <row r="87">
          <cell r="P87" t="str">
            <v/>
          </cell>
          <cell r="Q87" t="str">
            <v/>
          </cell>
          <cell r="S87" t="str">
            <v/>
          </cell>
        </row>
        <row r="88">
          <cell r="P88" t="str">
            <v/>
          </cell>
          <cell r="Q88" t="str">
            <v/>
          </cell>
          <cell r="S88" t="str">
            <v/>
          </cell>
        </row>
        <row r="89">
          <cell r="P89" t="str">
            <v/>
          </cell>
          <cell r="Q89" t="str">
            <v/>
          </cell>
          <cell r="S89" t="str">
            <v/>
          </cell>
        </row>
        <row r="90">
          <cell r="P90" t="str">
            <v/>
          </cell>
          <cell r="Q90" t="str">
            <v/>
          </cell>
          <cell r="S90" t="str">
            <v/>
          </cell>
        </row>
        <row r="91">
          <cell r="P91" t="str">
            <v/>
          </cell>
          <cell r="Q91" t="str">
            <v/>
          </cell>
          <cell r="S91" t="str">
            <v/>
          </cell>
        </row>
        <row r="92">
          <cell r="P92" t="str">
            <v/>
          </cell>
          <cell r="Q92" t="str">
            <v/>
          </cell>
          <cell r="S92" t="str">
            <v/>
          </cell>
        </row>
        <row r="93">
          <cell r="P93" t="str">
            <v/>
          </cell>
          <cell r="Q93" t="str">
            <v/>
          </cell>
          <cell r="S93" t="str">
            <v/>
          </cell>
        </row>
        <row r="94">
          <cell r="P94" t="str">
            <v/>
          </cell>
          <cell r="Q94" t="str">
            <v/>
          </cell>
          <cell r="S94" t="str">
            <v/>
          </cell>
        </row>
        <row r="95">
          <cell r="P95" t="str">
            <v/>
          </cell>
          <cell r="Q95" t="str">
            <v/>
          </cell>
          <cell r="S95" t="str">
            <v/>
          </cell>
        </row>
        <row r="96">
          <cell r="P96" t="str">
            <v/>
          </cell>
          <cell r="Q96" t="str">
            <v/>
          </cell>
          <cell r="S96" t="str">
            <v/>
          </cell>
        </row>
        <row r="97">
          <cell r="P97" t="str">
            <v/>
          </cell>
          <cell r="Q97" t="str">
            <v/>
          </cell>
          <cell r="S97" t="str">
            <v/>
          </cell>
        </row>
        <row r="98">
          <cell r="P98" t="str">
            <v/>
          </cell>
          <cell r="Q98" t="str">
            <v/>
          </cell>
          <cell r="S98" t="str">
            <v/>
          </cell>
        </row>
        <row r="102">
          <cell r="P102" t="str">
            <v/>
          </cell>
          <cell r="Q102" t="str">
            <v/>
          </cell>
          <cell r="S102" t="str">
            <v/>
          </cell>
        </row>
        <row r="103">
          <cell r="P103" t="str">
            <v/>
          </cell>
          <cell r="Q103" t="str">
            <v/>
          </cell>
          <cell r="S103" t="str">
            <v/>
          </cell>
        </row>
        <row r="104">
          <cell r="P104" t="str">
            <v/>
          </cell>
          <cell r="Q104" t="str">
            <v/>
          </cell>
          <cell r="S104" t="str">
            <v/>
          </cell>
        </row>
        <row r="105">
          <cell r="P105" t="str">
            <v/>
          </cell>
          <cell r="Q105" t="str">
            <v/>
          </cell>
          <cell r="S105" t="str">
            <v/>
          </cell>
        </row>
        <row r="106">
          <cell r="P106" t="str">
            <v/>
          </cell>
          <cell r="Q106" t="str">
            <v/>
          </cell>
          <cell r="S106" t="str">
            <v/>
          </cell>
        </row>
        <row r="107">
          <cell r="P107" t="str">
            <v/>
          </cell>
          <cell r="Q107" t="str">
            <v/>
          </cell>
          <cell r="S107" t="str">
            <v/>
          </cell>
        </row>
        <row r="108">
          <cell r="P108" t="str">
            <v/>
          </cell>
          <cell r="Q108" t="str">
            <v/>
          </cell>
          <cell r="S108" t="str">
            <v/>
          </cell>
        </row>
        <row r="109">
          <cell r="P109" t="str">
            <v/>
          </cell>
          <cell r="Q109" t="str">
            <v/>
          </cell>
          <cell r="S109" t="str">
            <v/>
          </cell>
        </row>
        <row r="110">
          <cell r="P110" t="str">
            <v/>
          </cell>
          <cell r="Q110" t="str">
            <v/>
          </cell>
          <cell r="S110" t="str">
            <v/>
          </cell>
        </row>
        <row r="111">
          <cell r="P111" t="str">
            <v/>
          </cell>
          <cell r="Q111" t="str">
            <v/>
          </cell>
          <cell r="S111" t="str">
            <v/>
          </cell>
        </row>
        <row r="112">
          <cell r="P112" t="str">
            <v/>
          </cell>
          <cell r="Q112" t="str">
            <v/>
          </cell>
          <cell r="S112" t="str">
            <v/>
          </cell>
        </row>
        <row r="113">
          <cell r="P113" t="str">
            <v/>
          </cell>
          <cell r="Q113" t="str">
            <v/>
          </cell>
          <cell r="S113" t="str">
            <v/>
          </cell>
        </row>
        <row r="114">
          <cell r="P114" t="str">
            <v/>
          </cell>
          <cell r="Q114" t="str">
            <v/>
          </cell>
          <cell r="S114" t="str">
            <v/>
          </cell>
        </row>
        <row r="115">
          <cell r="P115" t="str">
            <v/>
          </cell>
          <cell r="Q115" t="str">
            <v/>
          </cell>
          <cell r="S115" t="str">
            <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 val="BTM_H"/>
    </sheetNames>
    <definedNames>
      <definedName name="zprava_ko"/>
    </definedNames>
    <sheetDataSet>
      <sheetData sheetId="3">
        <row r="23">
          <cell r="C23">
            <v>38</v>
          </cell>
        </row>
        <row r="24">
          <cell r="C24" t="str">
            <v/>
          </cell>
        </row>
        <row r="25">
          <cell r="C25">
            <v>181</v>
          </cell>
        </row>
        <row r="26">
          <cell r="C26">
            <v>104</v>
          </cell>
        </row>
        <row r="27">
          <cell r="C27">
            <v>190</v>
          </cell>
        </row>
        <row r="28">
          <cell r="C28">
            <v>128</v>
          </cell>
        </row>
        <row r="29">
          <cell r="C29" t="str">
            <v/>
          </cell>
        </row>
        <row r="30">
          <cell r="C30">
            <v>41</v>
          </cell>
        </row>
        <row r="31">
          <cell r="C31">
            <v>42</v>
          </cell>
        </row>
        <row r="32">
          <cell r="C32" t="str">
            <v/>
          </cell>
        </row>
        <row r="33">
          <cell r="C33">
            <v>75</v>
          </cell>
        </row>
        <row r="34">
          <cell r="C34">
            <v>186</v>
          </cell>
        </row>
        <row r="35">
          <cell r="C35">
            <v>91</v>
          </cell>
        </row>
        <row r="36">
          <cell r="C36">
            <v>60</v>
          </cell>
        </row>
        <row r="37">
          <cell r="C37" t="str">
            <v/>
          </cell>
        </row>
        <row r="38">
          <cell r="C38">
            <v>27</v>
          </cell>
        </row>
        <row r="39">
          <cell r="C39">
            <v>26</v>
          </cell>
        </row>
        <row r="40">
          <cell r="C40" t="str">
            <v/>
          </cell>
        </row>
        <row r="41">
          <cell r="C41">
            <v>196</v>
          </cell>
        </row>
        <row r="42">
          <cell r="C42">
            <v>138</v>
          </cell>
        </row>
        <row r="43">
          <cell r="C43">
            <v>62</v>
          </cell>
        </row>
        <row r="44">
          <cell r="C44">
            <v>80</v>
          </cell>
        </row>
        <row r="45">
          <cell r="C45" t="str">
            <v/>
          </cell>
        </row>
        <row r="46">
          <cell r="C46">
            <v>58</v>
          </cell>
        </row>
        <row r="47">
          <cell r="C47">
            <v>44</v>
          </cell>
        </row>
        <row r="48">
          <cell r="C48" t="str">
            <v/>
          </cell>
        </row>
        <row r="49">
          <cell r="C49">
            <v>103</v>
          </cell>
        </row>
        <row r="50">
          <cell r="C50">
            <v>199</v>
          </cell>
        </row>
        <row r="51">
          <cell r="C51">
            <v>116</v>
          </cell>
        </row>
        <row r="52">
          <cell r="C52">
            <v>98</v>
          </cell>
        </row>
        <row r="53">
          <cell r="C53" t="str">
            <v/>
          </cell>
        </row>
        <row r="54">
          <cell r="C54">
            <v>30</v>
          </cell>
        </row>
        <row r="55">
          <cell r="C55">
            <v>36</v>
          </cell>
        </row>
        <row r="56">
          <cell r="C56" t="str">
            <v/>
          </cell>
        </row>
        <row r="57">
          <cell r="C57">
            <v>114</v>
          </cell>
        </row>
        <row r="58">
          <cell r="C58">
            <v>72</v>
          </cell>
        </row>
        <row r="59">
          <cell r="C59">
            <v>179</v>
          </cell>
        </row>
        <row r="60">
          <cell r="C60">
            <v>94</v>
          </cell>
        </row>
        <row r="61">
          <cell r="C61" t="str">
            <v/>
          </cell>
        </row>
        <row r="62">
          <cell r="C62">
            <v>51</v>
          </cell>
        </row>
        <row r="63">
          <cell r="C63">
            <v>46</v>
          </cell>
        </row>
        <row r="64">
          <cell r="C64" t="str">
            <v/>
          </cell>
        </row>
        <row r="65">
          <cell r="C65">
            <v>85</v>
          </cell>
        </row>
        <row r="66">
          <cell r="C66">
            <v>192</v>
          </cell>
        </row>
        <row r="67">
          <cell r="C67">
            <v>182</v>
          </cell>
        </row>
        <row r="68">
          <cell r="C68">
            <v>129</v>
          </cell>
        </row>
        <row r="69">
          <cell r="C69" t="str">
            <v/>
          </cell>
        </row>
        <row r="70">
          <cell r="C70">
            <v>25</v>
          </cell>
        </row>
        <row r="71">
          <cell r="C71">
            <v>24</v>
          </cell>
        </row>
        <row r="72">
          <cell r="C72" t="str">
            <v/>
          </cell>
        </row>
        <row r="73">
          <cell r="C73">
            <v>64</v>
          </cell>
        </row>
        <row r="74">
          <cell r="C74">
            <v>193</v>
          </cell>
        </row>
        <row r="75">
          <cell r="C75">
            <v>142</v>
          </cell>
        </row>
        <row r="76">
          <cell r="C76">
            <v>63</v>
          </cell>
        </row>
        <row r="77">
          <cell r="C77" t="str">
            <v/>
          </cell>
        </row>
        <row r="78">
          <cell r="C78">
            <v>40</v>
          </cell>
        </row>
        <row r="79">
          <cell r="C79">
            <v>49</v>
          </cell>
        </row>
        <row r="80">
          <cell r="C80" t="str">
            <v/>
          </cell>
        </row>
        <row r="81">
          <cell r="C81">
            <v>83</v>
          </cell>
        </row>
        <row r="82">
          <cell r="C82">
            <v>95</v>
          </cell>
        </row>
        <row r="83">
          <cell r="C83">
            <v>183</v>
          </cell>
        </row>
        <row r="84">
          <cell r="C84">
            <v>77</v>
          </cell>
        </row>
        <row r="85">
          <cell r="C85" t="str">
            <v/>
          </cell>
        </row>
        <row r="86">
          <cell r="C86">
            <v>31</v>
          </cell>
        </row>
        <row r="87">
          <cell r="C87">
            <v>32</v>
          </cell>
        </row>
        <row r="88">
          <cell r="C88" t="str">
            <v/>
          </cell>
        </row>
        <row r="89">
          <cell r="C89">
            <v>132</v>
          </cell>
        </row>
        <row r="90">
          <cell r="C90">
            <v>194</v>
          </cell>
        </row>
        <row r="91">
          <cell r="C91">
            <v>86</v>
          </cell>
        </row>
        <row r="92">
          <cell r="C92">
            <v>189</v>
          </cell>
        </row>
        <row r="93">
          <cell r="C93" t="str">
            <v/>
          </cell>
        </row>
        <row r="94">
          <cell r="C94">
            <v>57</v>
          </cell>
        </row>
        <row r="95">
          <cell r="C95">
            <v>53</v>
          </cell>
        </row>
        <row r="96">
          <cell r="C96" t="str">
            <v/>
          </cell>
        </row>
        <row r="97">
          <cell r="C97">
            <v>67</v>
          </cell>
        </row>
        <row r="98">
          <cell r="C98">
            <v>97</v>
          </cell>
        </row>
        <row r="99">
          <cell r="C99">
            <v>112</v>
          </cell>
        </row>
        <row r="100">
          <cell r="C100">
            <v>76</v>
          </cell>
        </row>
        <row r="101">
          <cell r="C101" t="str">
            <v/>
          </cell>
        </row>
        <row r="102">
          <cell r="C102">
            <v>28</v>
          </cell>
        </row>
        <row r="103">
          <cell r="C103">
            <v>29</v>
          </cell>
        </row>
        <row r="104">
          <cell r="C104" t="str">
            <v/>
          </cell>
        </row>
        <row r="105">
          <cell r="C105">
            <v>88</v>
          </cell>
        </row>
        <row r="106">
          <cell r="C106">
            <v>140</v>
          </cell>
        </row>
        <row r="107">
          <cell r="C107">
            <v>66</v>
          </cell>
        </row>
        <row r="108">
          <cell r="C108">
            <v>70</v>
          </cell>
        </row>
        <row r="109">
          <cell r="C109" t="str">
            <v/>
          </cell>
        </row>
        <row r="110">
          <cell r="C110">
            <v>48</v>
          </cell>
        </row>
        <row r="111">
          <cell r="C111">
            <v>50</v>
          </cell>
        </row>
        <row r="112">
          <cell r="C112" t="str">
            <v/>
          </cell>
        </row>
        <row r="113">
          <cell r="C113">
            <v>184</v>
          </cell>
        </row>
        <row r="114">
          <cell r="C114">
            <v>106</v>
          </cell>
        </row>
        <row r="115">
          <cell r="C115">
            <v>93</v>
          </cell>
        </row>
        <row r="116">
          <cell r="C116">
            <v>195</v>
          </cell>
        </row>
        <row r="117">
          <cell r="C117" t="str">
            <v/>
          </cell>
        </row>
        <row r="118">
          <cell r="C118">
            <v>37</v>
          </cell>
        </row>
        <row r="119">
          <cell r="C119">
            <v>33</v>
          </cell>
        </row>
        <row r="120">
          <cell r="C120" t="str">
            <v/>
          </cell>
        </row>
        <row r="121">
          <cell r="C121">
            <v>87</v>
          </cell>
        </row>
        <row r="122">
          <cell r="C122">
            <v>198</v>
          </cell>
        </row>
        <row r="123">
          <cell r="C123">
            <v>65</v>
          </cell>
        </row>
        <row r="124">
          <cell r="C124">
            <v>178</v>
          </cell>
        </row>
        <row r="125">
          <cell r="C125" t="str">
            <v/>
          </cell>
        </row>
        <row r="126">
          <cell r="C126">
            <v>55</v>
          </cell>
        </row>
        <row r="127">
          <cell r="C127">
            <v>59</v>
          </cell>
        </row>
        <row r="128">
          <cell r="C128" t="str">
            <v/>
          </cell>
        </row>
        <row r="129">
          <cell r="C129">
            <v>187</v>
          </cell>
        </row>
        <row r="130">
          <cell r="C130">
            <v>108</v>
          </cell>
        </row>
        <row r="131">
          <cell r="C131">
            <v>191</v>
          </cell>
        </row>
        <row r="132">
          <cell r="C132">
            <v>89</v>
          </cell>
        </row>
        <row r="133">
          <cell r="C133" t="str">
            <v/>
          </cell>
        </row>
        <row r="134">
          <cell r="C134">
            <v>23</v>
          </cell>
        </row>
      </sheetData>
      <sheetData sheetId="5">
        <row r="6">
          <cell r="F6" t="str">
            <v>dorostenci</v>
          </cell>
        </row>
        <row r="10">
          <cell r="L10">
            <v>16</v>
          </cell>
        </row>
      </sheetData>
      <sheetData sheetId="6">
        <row r="3">
          <cell r="B3" t="str">
            <v>Jméno</v>
          </cell>
          <cell r="C3" t="str">
            <v>Oddíl - klub</v>
          </cell>
          <cell r="D3" t="str">
            <v>dat.nar</v>
          </cell>
        </row>
        <row r="4">
          <cell r="A4">
            <v>0</v>
          </cell>
          <cell r="B4" t="str">
            <v>bye</v>
          </cell>
          <cell r="C4" t="str">
            <v>bye </v>
          </cell>
        </row>
        <row r="5">
          <cell r="A5">
            <v>1</v>
          </cell>
          <cell r="B5" t="str">
            <v>Polanský Tomáš</v>
          </cell>
          <cell r="C5" t="str">
            <v>Slavoj Ústí nad Labem</v>
          </cell>
          <cell r="D5">
            <v>1998</v>
          </cell>
        </row>
        <row r="6">
          <cell r="A6">
            <v>2</v>
          </cell>
          <cell r="B6" t="str">
            <v>Rozínek Vojtěch</v>
          </cell>
          <cell r="C6" t="str">
            <v>SKST Baník Havířov</v>
          </cell>
          <cell r="D6">
            <v>1998</v>
          </cell>
        </row>
        <row r="7">
          <cell r="A7">
            <v>3</v>
          </cell>
          <cell r="B7" t="str">
            <v>Klos Patrik</v>
          </cell>
          <cell r="C7" t="str">
            <v>TJ Ostrava KST</v>
          </cell>
          <cell r="D7">
            <v>1998</v>
          </cell>
        </row>
        <row r="8">
          <cell r="A8">
            <v>4</v>
          </cell>
          <cell r="B8" t="str">
            <v>Martinko Jiří</v>
          </cell>
          <cell r="C8" t="str">
            <v>TJ Ostrava KST</v>
          </cell>
          <cell r="D8">
            <v>1999</v>
          </cell>
        </row>
        <row r="9">
          <cell r="A9">
            <v>5</v>
          </cell>
          <cell r="B9" t="str">
            <v>Buben Vlastimil</v>
          </cell>
          <cell r="C9" t="str">
            <v>TJ Sokol PP Hradec Králové 2</v>
          </cell>
          <cell r="D9">
            <v>1999</v>
          </cell>
        </row>
        <row r="10">
          <cell r="A10">
            <v>6</v>
          </cell>
          <cell r="B10" t="str">
            <v>Vašíček Jan</v>
          </cell>
          <cell r="C10" t="str">
            <v>TJ Ostrava KST</v>
          </cell>
          <cell r="D10">
            <v>1999</v>
          </cell>
        </row>
        <row r="11">
          <cell r="A11">
            <v>7</v>
          </cell>
          <cell r="B11" t="str">
            <v>Mikolašík Michal</v>
          </cell>
          <cell r="C11" t="str">
            <v>SKST Baník Havířov</v>
          </cell>
          <cell r="D11">
            <v>1999</v>
          </cell>
        </row>
        <row r="12">
          <cell r="A12">
            <v>8</v>
          </cell>
          <cell r="B12" t="str">
            <v>Dusík Stanislav</v>
          </cell>
          <cell r="C12" t="str">
            <v>SK DDM Kotlářka Praha</v>
          </cell>
          <cell r="D12">
            <v>1998</v>
          </cell>
        </row>
        <row r="13">
          <cell r="A13">
            <v>9</v>
          </cell>
          <cell r="B13" t="str">
            <v>Hobl Lukáš</v>
          </cell>
          <cell r="C13" t="str">
            <v>KST Cheb</v>
          </cell>
          <cell r="D13">
            <v>1998</v>
          </cell>
        </row>
        <row r="14">
          <cell r="A14">
            <v>10</v>
          </cell>
          <cell r="B14" t="str">
            <v>Lapčík Ondřej</v>
          </cell>
          <cell r="C14" t="str">
            <v>KST Zlín</v>
          </cell>
          <cell r="D14">
            <v>1999</v>
          </cell>
        </row>
        <row r="15">
          <cell r="A15">
            <v>11</v>
          </cell>
          <cell r="B15" t="str">
            <v>Průša David</v>
          </cell>
          <cell r="C15" t="str">
            <v>TTC Elizza Praha</v>
          </cell>
          <cell r="D15">
            <v>2000</v>
          </cell>
        </row>
        <row r="16">
          <cell r="A16">
            <v>12</v>
          </cell>
          <cell r="B16" t="str">
            <v>Bělohlávek Dominik</v>
          </cell>
          <cell r="C16" t="str">
            <v>SK US Steinerova Choceň</v>
          </cell>
          <cell r="D16">
            <v>1998</v>
          </cell>
        </row>
        <row r="17">
          <cell r="A17">
            <v>13</v>
          </cell>
          <cell r="B17" t="str">
            <v>Žaloudík Jan</v>
          </cell>
          <cell r="C17" t="str">
            <v>KST Cheb</v>
          </cell>
          <cell r="D17">
            <v>1998</v>
          </cell>
        </row>
        <row r="18">
          <cell r="A18">
            <v>14</v>
          </cell>
          <cell r="B18" t="str">
            <v>Valenta Jan</v>
          </cell>
          <cell r="C18" t="str">
            <v>TSM Kladno</v>
          </cell>
          <cell r="D18">
            <v>2001</v>
          </cell>
        </row>
        <row r="19">
          <cell r="A19">
            <v>15</v>
          </cell>
          <cell r="B19" t="str">
            <v>Onderka František</v>
          </cell>
          <cell r="C19" t="str">
            <v>TJ Ostrava KST</v>
          </cell>
          <cell r="D19">
            <v>2002</v>
          </cell>
        </row>
        <row r="20">
          <cell r="A20">
            <v>16</v>
          </cell>
          <cell r="B20" t="str">
            <v>Koldas Tomáš</v>
          </cell>
          <cell r="C20" t="str">
            <v>KST Zlín</v>
          </cell>
          <cell r="D20">
            <v>2000</v>
          </cell>
        </row>
        <row r="21">
          <cell r="A21">
            <v>17</v>
          </cell>
          <cell r="B21" t="str">
            <v>Strejc Filip</v>
          </cell>
          <cell r="C21" t="str">
            <v>AC Sparta Praha</v>
          </cell>
          <cell r="D21">
            <v>1998</v>
          </cell>
        </row>
        <row r="22">
          <cell r="A22">
            <v>18</v>
          </cell>
          <cell r="B22" t="str">
            <v>Siwiec Matěj</v>
          </cell>
          <cell r="C22" t="str">
            <v>SKST Baník Havířov</v>
          </cell>
          <cell r="D22">
            <v>2001</v>
          </cell>
        </row>
        <row r="23">
          <cell r="A23">
            <v>19</v>
          </cell>
          <cell r="B23" t="str">
            <v>Šálený David</v>
          </cell>
          <cell r="C23" t="str">
            <v>SK DDM Kotlářka Praha</v>
          </cell>
          <cell r="D23">
            <v>1999</v>
          </cell>
        </row>
        <row r="24">
          <cell r="A24">
            <v>20</v>
          </cell>
          <cell r="B24" t="str">
            <v>Marat Petr</v>
          </cell>
          <cell r="C24" t="str">
            <v>TTC Elizza Praha</v>
          </cell>
          <cell r="D24">
            <v>1999</v>
          </cell>
        </row>
        <row r="25">
          <cell r="A25">
            <v>21</v>
          </cell>
          <cell r="B25" t="str">
            <v>Růžička Filip</v>
          </cell>
          <cell r="C25" t="str">
            <v>SKST Hodonín</v>
          </cell>
          <cell r="D25">
            <v>2000</v>
          </cell>
        </row>
        <row r="26">
          <cell r="A26">
            <v>22</v>
          </cell>
          <cell r="B26" t="str">
            <v>Górecki Jan</v>
          </cell>
          <cell r="C26" t="str">
            <v>SKST Baník Havířov</v>
          </cell>
          <cell r="D26">
            <v>1999</v>
          </cell>
        </row>
        <row r="27">
          <cell r="A27">
            <v>23</v>
          </cell>
          <cell r="B27" t="str">
            <v>Hromek Filip</v>
          </cell>
          <cell r="C27" t="str">
            <v>SKST Hodonín</v>
          </cell>
          <cell r="D27">
            <v>2001</v>
          </cell>
        </row>
        <row r="28">
          <cell r="A28">
            <v>24</v>
          </cell>
          <cell r="B28" t="str">
            <v>Koubek Vojtěch</v>
          </cell>
          <cell r="C28" t="str">
            <v>TJ Sokol PP Hradec Králové 2</v>
          </cell>
          <cell r="D28">
            <v>2000</v>
          </cell>
        </row>
        <row r="29">
          <cell r="A29">
            <v>25</v>
          </cell>
          <cell r="B29" t="str">
            <v>Krejcar Vilém</v>
          </cell>
          <cell r="C29" t="str">
            <v>SK DDM Kotlářka Praha</v>
          </cell>
          <cell r="D29">
            <v>1998</v>
          </cell>
        </row>
        <row r="30">
          <cell r="A30">
            <v>26</v>
          </cell>
          <cell r="B30" t="str">
            <v>Martinko Tomáš</v>
          </cell>
          <cell r="C30" t="str">
            <v>TJ Ostrava KST</v>
          </cell>
          <cell r="D30">
            <v>2002</v>
          </cell>
        </row>
        <row r="31">
          <cell r="A31">
            <v>27</v>
          </cell>
          <cell r="B31" t="str">
            <v>Skalský Ondřej</v>
          </cell>
          <cell r="C31" t="str">
            <v>SK Přerov</v>
          </cell>
          <cell r="D31">
            <v>1999</v>
          </cell>
        </row>
        <row r="32">
          <cell r="A32">
            <v>28</v>
          </cell>
          <cell r="B32" t="str">
            <v>Plachta Jakub</v>
          </cell>
          <cell r="C32" t="str">
            <v>TJ Ostrava KST</v>
          </cell>
          <cell r="D32">
            <v>2000</v>
          </cell>
        </row>
        <row r="33">
          <cell r="A33">
            <v>29</v>
          </cell>
          <cell r="B33" t="str">
            <v>Bárta Daniel</v>
          </cell>
          <cell r="C33" t="str">
            <v>TJ Jiskra Havlíčkův Brod</v>
          </cell>
          <cell r="D33">
            <v>1999</v>
          </cell>
        </row>
        <row r="34">
          <cell r="A34">
            <v>30</v>
          </cell>
          <cell r="B34" t="str">
            <v>Vlach Martin</v>
          </cell>
          <cell r="C34" t="str">
            <v>SK Přerov</v>
          </cell>
          <cell r="D34">
            <v>1998</v>
          </cell>
        </row>
        <row r="35">
          <cell r="A35">
            <v>31</v>
          </cell>
          <cell r="B35" t="str">
            <v>Kotek Dominik</v>
          </cell>
          <cell r="C35" t="str">
            <v>SK Frýdlant nad Ostravicí</v>
          </cell>
          <cell r="D35">
            <v>1999</v>
          </cell>
        </row>
        <row r="36">
          <cell r="A36">
            <v>32</v>
          </cell>
          <cell r="B36" t="str">
            <v>Čamr František</v>
          </cell>
          <cell r="C36" t="str">
            <v>FK Kolín</v>
          </cell>
          <cell r="D36">
            <v>2000</v>
          </cell>
        </row>
        <row r="37">
          <cell r="A37">
            <v>33</v>
          </cell>
          <cell r="B37" t="str">
            <v>Stránský Matěj</v>
          </cell>
          <cell r="C37" t="str">
            <v>SK US Steinerova Choceň</v>
          </cell>
          <cell r="D37">
            <v>1998</v>
          </cell>
        </row>
        <row r="38">
          <cell r="A38">
            <v>34</v>
          </cell>
          <cell r="B38" t="str">
            <v>Lapka Miroslav</v>
          </cell>
          <cell r="C38" t="str">
            <v>TTC Bělá pod Bezdězem</v>
          </cell>
          <cell r="D38">
            <v>1998</v>
          </cell>
        </row>
        <row r="39">
          <cell r="A39">
            <v>35</v>
          </cell>
          <cell r="B39" t="str">
            <v>Mokrejš Jan</v>
          </cell>
          <cell r="C39" t="str">
            <v>TJ Sokol PP Hradec Králové 2</v>
          </cell>
          <cell r="D39">
            <v>2002</v>
          </cell>
        </row>
        <row r="40">
          <cell r="A40">
            <v>36</v>
          </cell>
          <cell r="B40" t="str">
            <v>Kortus Filip</v>
          </cell>
          <cell r="C40" t="str">
            <v>SK Pedagog ČB</v>
          </cell>
          <cell r="D40">
            <v>1999</v>
          </cell>
        </row>
        <row r="41">
          <cell r="A41">
            <v>37</v>
          </cell>
          <cell r="B41" t="str">
            <v>Fausek Matěj</v>
          </cell>
          <cell r="C41" t="str">
            <v>TTC Elizza Praha</v>
          </cell>
          <cell r="D41">
            <v>1999</v>
          </cell>
        </row>
        <row r="42">
          <cell r="A42">
            <v>38</v>
          </cell>
          <cell r="B42" t="str">
            <v>Pašek Dominik</v>
          </cell>
          <cell r="C42" t="str">
            <v>TJ Slavoj Praha</v>
          </cell>
          <cell r="D42">
            <v>1998</v>
          </cell>
        </row>
        <row r="43">
          <cell r="A43">
            <v>39</v>
          </cell>
          <cell r="B43" t="str">
            <v>Pilch Jakub</v>
          </cell>
          <cell r="C43" t="str">
            <v>TJ TŽ Třinec</v>
          </cell>
          <cell r="D43">
            <v>1999</v>
          </cell>
        </row>
        <row r="44">
          <cell r="A44">
            <v>40</v>
          </cell>
          <cell r="B44" t="str">
            <v>Černota Filip</v>
          </cell>
          <cell r="C44" t="str">
            <v>AC Sparta Praha</v>
          </cell>
          <cell r="D44">
            <v>2001</v>
          </cell>
        </row>
        <row r="45">
          <cell r="A45">
            <v>41</v>
          </cell>
          <cell r="B45" t="str">
            <v>Bako Radim</v>
          </cell>
          <cell r="C45" t="str">
            <v>TJ Lanškroun</v>
          </cell>
          <cell r="D45">
            <v>2001</v>
          </cell>
        </row>
        <row r="46">
          <cell r="A46">
            <v>42</v>
          </cell>
          <cell r="B46" t="str">
            <v>Vévoda Ondřej</v>
          </cell>
          <cell r="C46" t="str">
            <v>BSK Malenovice</v>
          </cell>
          <cell r="D46">
            <v>1999</v>
          </cell>
        </row>
        <row r="47">
          <cell r="A47">
            <v>43</v>
          </cell>
          <cell r="B47" t="str">
            <v>Dufek Jakub</v>
          </cell>
          <cell r="C47" t="str">
            <v>KST Zlín</v>
          </cell>
          <cell r="D47">
            <v>1999</v>
          </cell>
        </row>
        <row r="48">
          <cell r="A48">
            <v>44</v>
          </cell>
          <cell r="B48" t="str">
            <v>Vybíral Filip</v>
          </cell>
          <cell r="C48" t="str">
            <v>TJ Lanškroun</v>
          </cell>
          <cell r="D48">
            <v>2002</v>
          </cell>
        </row>
        <row r="49">
          <cell r="A49">
            <v>45</v>
          </cell>
          <cell r="B49" t="str">
            <v>Frejvolt Lukáš</v>
          </cell>
          <cell r="C49" t="str">
            <v>SKST Baník Havířov</v>
          </cell>
          <cell r="D49">
            <v>2000</v>
          </cell>
        </row>
        <row r="50">
          <cell r="A50">
            <v>46</v>
          </cell>
          <cell r="B50" t="str">
            <v>Hýbl Jan</v>
          </cell>
          <cell r="C50" t="str">
            <v>TJ Sokol PP Hradec Králové 2</v>
          </cell>
          <cell r="D50">
            <v>1999</v>
          </cell>
        </row>
        <row r="51">
          <cell r="A51">
            <v>47</v>
          </cell>
          <cell r="B51" t="str">
            <v>Hýža Daniel</v>
          </cell>
          <cell r="C51" t="str">
            <v>TSM Kladno</v>
          </cell>
          <cell r="D51">
            <v>2000</v>
          </cell>
        </row>
        <row r="52">
          <cell r="A52">
            <v>48</v>
          </cell>
          <cell r="B52" t="str">
            <v>Škarban Jan</v>
          </cell>
          <cell r="C52" t="str">
            <v>TJ Slavoj Praha</v>
          </cell>
          <cell r="D52">
            <v>1998</v>
          </cell>
        </row>
        <row r="53">
          <cell r="A53">
            <v>49</v>
          </cell>
          <cell r="B53" t="str">
            <v>Vitásek Adam</v>
          </cell>
          <cell r="C53" t="str">
            <v>KST Slezan Opava</v>
          </cell>
          <cell r="D53">
            <v>2000</v>
          </cell>
        </row>
        <row r="54">
          <cell r="A54">
            <v>50</v>
          </cell>
          <cell r="B54" t="str">
            <v>Olejník Petr</v>
          </cell>
          <cell r="C54" t="str">
            <v>SK Přerov</v>
          </cell>
          <cell r="D54">
            <v>2001</v>
          </cell>
        </row>
        <row r="55">
          <cell r="A55">
            <v>51</v>
          </cell>
          <cell r="B55" t="str">
            <v>Vaculík Miloslav</v>
          </cell>
          <cell r="C55" t="str">
            <v>TTC MS Brno</v>
          </cell>
          <cell r="D55">
            <v>2001</v>
          </cell>
        </row>
        <row r="56">
          <cell r="A56">
            <v>52</v>
          </cell>
          <cell r="B56" t="str">
            <v>Konečný Lukáš</v>
          </cell>
          <cell r="C56" t="str">
            <v>Chropyně</v>
          </cell>
          <cell r="D56">
            <v>1998</v>
          </cell>
        </row>
        <row r="57">
          <cell r="A57">
            <v>53</v>
          </cell>
          <cell r="B57" t="str">
            <v>Skála Radek</v>
          </cell>
          <cell r="C57" t="str">
            <v>TTC MS Brno</v>
          </cell>
          <cell r="D57">
            <v>2002</v>
          </cell>
        </row>
        <row r="58">
          <cell r="A58">
            <v>54</v>
          </cell>
          <cell r="B58" t="str">
            <v>Buchar Michael</v>
          </cell>
          <cell r="C58" t="str">
            <v>SK DDM Kotlářka Praha</v>
          </cell>
          <cell r="D58">
            <v>1999</v>
          </cell>
        </row>
        <row r="59">
          <cell r="A59">
            <v>55</v>
          </cell>
          <cell r="B59" t="str">
            <v>Březovský Petr</v>
          </cell>
          <cell r="C59" t="str">
            <v>TTC Litoměřice</v>
          </cell>
          <cell r="D59">
            <v>2000</v>
          </cell>
        </row>
        <row r="60">
          <cell r="A60">
            <v>56</v>
          </cell>
          <cell r="B60" t="str">
            <v>Hervert Josef</v>
          </cell>
          <cell r="C60" t="str">
            <v>TTC Litoměřice</v>
          </cell>
          <cell r="D60">
            <v>1998</v>
          </cell>
        </row>
        <row r="61">
          <cell r="A61">
            <v>57</v>
          </cell>
          <cell r="B61" t="str">
            <v>Šefr Filip</v>
          </cell>
          <cell r="C61" t="str">
            <v>TTC MS Brno</v>
          </cell>
          <cell r="D61">
            <v>1999</v>
          </cell>
        </row>
        <row r="62">
          <cell r="A62">
            <v>58</v>
          </cell>
          <cell r="B62" t="str">
            <v>Blinka Michal</v>
          </cell>
          <cell r="C62" t="str">
            <v>SKST Liberec</v>
          </cell>
          <cell r="D62">
            <v>2001</v>
          </cell>
        </row>
        <row r="63">
          <cell r="A63">
            <v>59</v>
          </cell>
          <cell r="B63" t="str">
            <v>Oharek David</v>
          </cell>
          <cell r="C63" t="str">
            <v>KST Zlín</v>
          </cell>
          <cell r="D63">
            <v>1999</v>
          </cell>
        </row>
        <row r="64">
          <cell r="A64">
            <v>60</v>
          </cell>
          <cell r="B64" t="str">
            <v>Hušek Adam</v>
          </cell>
          <cell r="C64" t="str">
            <v>TJ Sokol PP Hradec Králové 2</v>
          </cell>
          <cell r="D64">
            <v>2001</v>
          </cell>
        </row>
        <row r="65">
          <cell r="A65">
            <v>61</v>
          </cell>
          <cell r="B65" t="str">
            <v>Legát Petr</v>
          </cell>
          <cell r="C65" t="str">
            <v>TJ Union Plzeň</v>
          </cell>
          <cell r="D65">
            <v>1999</v>
          </cell>
        </row>
        <row r="66">
          <cell r="A66">
            <v>62</v>
          </cell>
          <cell r="B66" t="str">
            <v>Dvořák Petr</v>
          </cell>
          <cell r="C66" t="str">
            <v>TTC Elizza Praha</v>
          </cell>
          <cell r="D66">
            <v>2000</v>
          </cell>
        </row>
        <row r="67">
          <cell r="A67">
            <v>63</v>
          </cell>
          <cell r="B67" t="str">
            <v>Nedbálek Michal</v>
          </cell>
          <cell r="C67" t="str">
            <v>KST Zlín</v>
          </cell>
          <cell r="D67">
            <v>2001</v>
          </cell>
        </row>
        <row r="68">
          <cell r="A68">
            <v>64</v>
          </cell>
          <cell r="B68" t="str">
            <v>Kubát Petr</v>
          </cell>
          <cell r="C68" t="str">
            <v>SK DDM Kotlářka Praha</v>
          </cell>
          <cell r="D68">
            <v>1999</v>
          </cell>
        </row>
        <row r="69">
          <cell r="A69">
            <v>65</v>
          </cell>
          <cell r="B69" t="str">
            <v>Zukal Adam</v>
          </cell>
          <cell r="C69" t="str">
            <v>KST Blansko</v>
          </cell>
          <cell r="D69">
            <v>1998</v>
          </cell>
        </row>
        <row r="70">
          <cell r="A70">
            <v>66</v>
          </cell>
          <cell r="B70" t="str">
            <v>Přída Kryštof</v>
          </cell>
          <cell r="C70" t="str">
            <v>SK DDM Kotlářka Praha</v>
          </cell>
          <cell r="D70">
            <v>2002</v>
          </cell>
        </row>
        <row r="71">
          <cell r="A71">
            <v>67</v>
          </cell>
          <cell r="B71" t="str">
            <v>Vladyka Jakub</v>
          </cell>
          <cell r="C71" t="str">
            <v>TJ Sokol Plzeň V.</v>
          </cell>
          <cell r="D71">
            <v>1999</v>
          </cell>
        </row>
        <row r="72">
          <cell r="A72">
            <v>68</v>
          </cell>
          <cell r="B72" t="str">
            <v>Bareš David</v>
          </cell>
          <cell r="C72" t="str">
            <v>Bystřice pod Hostýnem</v>
          </cell>
          <cell r="D72">
            <v>2000</v>
          </cell>
        </row>
        <row r="73">
          <cell r="A73">
            <v>69</v>
          </cell>
          <cell r="B73" t="str">
            <v>Vincek Martin</v>
          </cell>
          <cell r="C73" t="str">
            <v>Nový Jičín</v>
          </cell>
          <cell r="D73">
            <v>2000</v>
          </cell>
        </row>
        <row r="74">
          <cell r="A74">
            <v>70</v>
          </cell>
          <cell r="B74" t="str">
            <v>Ondrovčák Radek</v>
          </cell>
          <cell r="C74" t="str">
            <v>TTC Sokol Znojmo</v>
          </cell>
          <cell r="D74">
            <v>1999</v>
          </cell>
        </row>
        <row r="75">
          <cell r="A75">
            <v>71</v>
          </cell>
          <cell r="B75" t="str">
            <v>Sedlář David</v>
          </cell>
          <cell r="C75" t="str">
            <v>TTC Koral Tišnov</v>
          </cell>
          <cell r="D75">
            <v>2000</v>
          </cell>
        </row>
        <row r="76">
          <cell r="A76">
            <v>72</v>
          </cell>
          <cell r="B76" t="str">
            <v>Šebl Jáchym</v>
          </cell>
          <cell r="C76" t="str">
            <v>TJ Slavoj Praha</v>
          </cell>
          <cell r="D76">
            <v>2000</v>
          </cell>
        </row>
        <row r="77">
          <cell r="A77">
            <v>73</v>
          </cell>
          <cell r="B77" t="str">
            <v>Dzida Martin</v>
          </cell>
          <cell r="C77" t="str">
            <v>KST Slezan Opava</v>
          </cell>
          <cell r="D77">
            <v>2001</v>
          </cell>
        </row>
        <row r="78">
          <cell r="A78">
            <v>74</v>
          </cell>
          <cell r="B78" t="str">
            <v>Glos Michal</v>
          </cell>
          <cell r="C78" t="str">
            <v>TJ TŽ Třinec</v>
          </cell>
          <cell r="D78">
            <v>1999</v>
          </cell>
        </row>
        <row r="79">
          <cell r="A79">
            <v>75</v>
          </cell>
          <cell r="B79" t="str">
            <v>Procházka Jaroslav</v>
          </cell>
          <cell r="C79" t="str">
            <v>KST ZŠ Vyšší Brod</v>
          </cell>
          <cell r="D79">
            <v>2000</v>
          </cell>
        </row>
        <row r="80">
          <cell r="A80">
            <v>76</v>
          </cell>
          <cell r="B80" t="str">
            <v>Šejvl Jakub</v>
          </cell>
          <cell r="C80" t="str">
            <v>TTC Brandýs nad Labem</v>
          </cell>
          <cell r="D80">
            <v>2000</v>
          </cell>
        </row>
        <row r="81">
          <cell r="A81">
            <v>77</v>
          </cell>
          <cell r="B81" t="str">
            <v>Pařízek Martin</v>
          </cell>
          <cell r="C81" t="str">
            <v>SKST Liberec</v>
          </cell>
          <cell r="D81">
            <v>2000</v>
          </cell>
        </row>
        <row r="82">
          <cell r="A82">
            <v>78</v>
          </cell>
          <cell r="B82" t="str">
            <v>Truc Petr</v>
          </cell>
          <cell r="C82" t="str">
            <v>TTC Elizza Praha</v>
          </cell>
          <cell r="D82">
            <v>1998</v>
          </cell>
        </row>
        <row r="83">
          <cell r="A83">
            <v>79</v>
          </cell>
          <cell r="B83" t="str">
            <v>Fabíni Jan</v>
          </cell>
          <cell r="C83" t="str">
            <v>SKST Liberec</v>
          </cell>
          <cell r="D83">
            <v>1998</v>
          </cell>
        </row>
        <row r="84">
          <cell r="A84">
            <v>80</v>
          </cell>
          <cell r="B84" t="str">
            <v>Jirásek Martin</v>
          </cell>
          <cell r="C84" t="str">
            <v>TJ Sokol PP Hradec Králové 2</v>
          </cell>
          <cell r="D84">
            <v>2001</v>
          </cell>
        </row>
        <row r="85">
          <cell r="A85">
            <v>81</v>
          </cell>
          <cell r="B85" t="str">
            <v>Chalupa Josef</v>
          </cell>
          <cell r="C85" t="str">
            <v>TTC Brandýs nad Labem</v>
          </cell>
          <cell r="D85">
            <v>2000</v>
          </cell>
        </row>
        <row r="86">
          <cell r="A86">
            <v>82</v>
          </cell>
          <cell r="B86" t="str">
            <v>Malý Michal</v>
          </cell>
          <cell r="C86" t="str">
            <v>TJ Baník Březenecká Chomutov</v>
          </cell>
          <cell r="D86">
            <v>1999</v>
          </cell>
        </row>
        <row r="87">
          <cell r="A87">
            <v>83</v>
          </cell>
          <cell r="B87" t="str">
            <v>Mynář Vojtěch</v>
          </cell>
          <cell r="C87" t="str">
            <v>TJ Lanškroun</v>
          </cell>
          <cell r="D87">
            <v>2001</v>
          </cell>
        </row>
        <row r="88">
          <cell r="A88">
            <v>84</v>
          </cell>
          <cell r="B88" t="str">
            <v>Jílek Jakub</v>
          </cell>
          <cell r="C88" t="str">
            <v>TTC Kladno</v>
          </cell>
          <cell r="D88">
            <v>1998</v>
          </cell>
        </row>
        <row r="89">
          <cell r="A89">
            <v>85</v>
          </cell>
          <cell r="B89" t="str">
            <v>Rusnák Aleš</v>
          </cell>
          <cell r="C89" t="str">
            <v>TJ Sokol Ropice</v>
          </cell>
          <cell r="D89">
            <v>2002</v>
          </cell>
        </row>
        <row r="90">
          <cell r="A90">
            <v>86</v>
          </cell>
          <cell r="B90" t="str">
            <v>Vybíral Jakub</v>
          </cell>
          <cell r="C90" t="str">
            <v>TJ Lanškroun</v>
          </cell>
          <cell r="D90">
            <v>1999</v>
          </cell>
        </row>
        <row r="91">
          <cell r="A91">
            <v>87</v>
          </cell>
          <cell r="B91" t="str">
            <v>Bako Adam</v>
          </cell>
          <cell r="C91" t="str">
            <v>TJ Lanškroun</v>
          </cell>
          <cell r="D91">
            <v>1999</v>
          </cell>
        </row>
        <row r="92">
          <cell r="A92">
            <v>88</v>
          </cell>
          <cell r="B92" t="str">
            <v>Demek Matyáš</v>
          </cell>
          <cell r="C92" t="str">
            <v>TJ Ostrava KST</v>
          </cell>
          <cell r="D92">
            <v>1999</v>
          </cell>
        </row>
        <row r="93">
          <cell r="A93">
            <v>89</v>
          </cell>
          <cell r="B93" t="str">
            <v>Novotný Petr</v>
          </cell>
          <cell r="C93" t="str">
            <v>DDM Soběslav</v>
          </cell>
          <cell r="D93">
            <v>2000</v>
          </cell>
        </row>
        <row r="94">
          <cell r="A94">
            <v>90</v>
          </cell>
          <cell r="B94" t="str">
            <v>Mikulejský Filip</v>
          </cell>
          <cell r="C94" t="str">
            <v>TTC Kladno</v>
          </cell>
          <cell r="D94">
            <v>1999</v>
          </cell>
        </row>
        <row r="95">
          <cell r="A95">
            <v>91</v>
          </cell>
          <cell r="B95" t="str">
            <v>Jadrný Šimon</v>
          </cell>
          <cell r="C95" t="str">
            <v>STEN Havlíčkův Brod</v>
          </cell>
          <cell r="D95">
            <v>2002</v>
          </cell>
        </row>
        <row r="96">
          <cell r="A96">
            <v>92</v>
          </cell>
          <cell r="B96" t="str">
            <v>Vízner Jiří</v>
          </cell>
          <cell r="C96" t="str">
            <v>TJ Sever Žatec</v>
          </cell>
          <cell r="D96">
            <v>1998</v>
          </cell>
        </row>
        <row r="97">
          <cell r="A97">
            <v>93</v>
          </cell>
          <cell r="B97" t="str">
            <v>Herec Lukáš</v>
          </cell>
          <cell r="C97" t="str">
            <v>BSK Malenovice</v>
          </cell>
          <cell r="D97">
            <v>2000</v>
          </cell>
        </row>
        <row r="98">
          <cell r="A98">
            <v>94</v>
          </cell>
          <cell r="B98" t="str">
            <v>Podrazil David</v>
          </cell>
          <cell r="C98" t="str">
            <v>SKST Hodonín</v>
          </cell>
          <cell r="D98">
            <v>2001</v>
          </cell>
        </row>
        <row r="99">
          <cell r="A99">
            <v>95</v>
          </cell>
          <cell r="B99" t="str">
            <v>Harenčák Jakub</v>
          </cell>
          <cell r="C99" t="str">
            <v>KST ZŠ Vyšší Brod</v>
          </cell>
          <cell r="D99">
            <v>2000</v>
          </cell>
        </row>
        <row r="100">
          <cell r="A100">
            <v>96</v>
          </cell>
          <cell r="B100" t="str">
            <v>Doležal Josef</v>
          </cell>
          <cell r="C100" t="str">
            <v>KST Orel ČB</v>
          </cell>
          <cell r="D100">
            <v>2000</v>
          </cell>
        </row>
        <row r="101">
          <cell r="A101">
            <v>97</v>
          </cell>
          <cell r="B101" t="str">
            <v>Soukup Adam</v>
          </cell>
          <cell r="C101" t="str">
            <v>SK Přerov</v>
          </cell>
          <cell r="D101">
            <v>2001</v>
          </cell>
        </row>
        <row r="102">
          <cell r="A102">
            <v>98</v>
          </cell>
          <cell r="B102" t="str">
            <v>Šimota Dominik</v>
          </cell>
          <cell r="C102" t="str">
            <v>DDM Soběslav</v>
          </cell>
          <cell r="D102">
            <v>1998</v>
          </cell>
        </row>
        <row r="103">
          <cell r="A103">
            <v>99</v>
          </cell>
          <cell r="B103" t="str">
            <v>Beran Tomáš</v>
          </cell>
          <cell r="C103" t="str">
            <v>SK DDM Kotlářka Praha</v>
          </cell>
          <cell r="D103">
            <v>2001</v>
          </cell>
        </row>
        <row r="104">
          <cell r="A104">
            <v>100</v>
          </cell>
          <cell r="B104" t="str">
            <v>Bistřický Marek</v>
          </cell>
          <cell r="C104" t="str">
            <v>Union Plzeň</v>
          </cell>
          <cell r="D104">
            <v>1998</v>
          </cell>
        </row>
        <row r="105">
          <cell r="A105">
            <v>101</v>
          </cell>
          <cell r="B105" t="str">
            <v>Fesl Martin</v>
          </cell>
          <cell r="C105" t="str">
            <v>OST Velešín</v>
          </cell>
          <cell r="D105">
            <v>1999</v>
          </cell>
        </row>
        <row r="106">
          <cell r="A106">
            <v>102</v>
          </cell>
          <cell r="B106" t="str">
            <v>Mečl Jan</v>
          </cell>
          <cell r="C106" t="str">
            <v>SKST Liberec</v>
          </cell>
          <cell r="D106">
            <v>2000</v>
          </cell>
        </row>
        <row r="107">
          <cell r="A107">
            <v>103</v>
          </cell>
          <cell r="B107" t="str">
            <v>Šimůnek Ondřej</v>
          </cell>
          <cell r="C107" t="str">
            <v>TJ Slavoj Praha</v>
          </cell>
          <cell r="D107">
            <v>1999</v>
          </cell>
        </row>
        <row r="108">
          <cell r="A108">
            <v>104</v>
          </cell>
          <cell r="B108" t="str">
            <v>Vacek Jan</v>
          </cell>
          <cell r="C108" t="str">
            <v>MSK Břeclav</v>
          </cell>
          <cell r="D108">
            <v>2000</v>
          </cell>
        </row>
        <row r="109">
          <cell r="A109">
            <v>105</v>
          </cell>
          <cell r="B109" t="str">
            <v>Assar Adrian</v>
          </cell>
          <cell r="C109" t="str">
            <v>TTC Kladno</v>
          </cell>
          <cell r="D109">
            <v>2000</v>
          </cell>
        </row>
        <row r="110">
          <cell r="A110">
            <v>106</v>
          </cell>
          <cell r="B110" t="str">
            <v>Pechman Petr</v>
          </cell>
          <cell r="C110" t="str">
            <v>TJ Sokol Plzeň V.</v>
          </cell>
          <cell r="D110">
            <v>1998</v>
          </cell>
        </row>
        <row r="111">
          <cell r="A111">
            <v>107</v>
          </cell>
          <cell r="B111" t="str">
            <v>Záboj Matěj</v>
          </cell>
          <cell r="C111" t="str">
            <v>FK Kolín</v>
          </cell>
          <cell r="D111">
            <v>2002</v>
          </cell>
        </row>
        <row r="112">
          <cell r="A112">
            <v>108</v>
          </cell>
          <cell r="B112" t="str">
            <v>Jakubský Filip</v>
          </cell>
          <cell r="C112" t="str">
            <v>TJ Sokol PP Hradec Králové 2</v>
          </cell>
          <cell r="D112">
            <v>2002</v>
          </cell>
        </row>
        <row r="113">
          <cell r="A113">
            <v>109</v>
          </cell>
          <cell r="B113" t="str">
            <v>Pašek Adam</v>
          </cell>
          <cell r="C113" t="str">
            <v>TJ Slavoj Praha</v>
          </cell>
          <cell r="D113">
            <v>2002</v>
          </cell>
        </row>
        <row r="114">
          <cell r="A114">
            <v>110</v>
          </cell>
          <cell r="B114" t="str">
            <v>Novák Michal</v>
          </cell>
          <cell r="C114" t="str">
            <v>TJ Ostrava KST</v>
          </cell>
          <cell r="D114">
            <v>2000</v>
          </cell>
        </row>
        <row r="115">
          <cell r="A115">
            <v>111</v>
          </cell>
          <cell r="B115" t="str">
            <v>Končal Adam</v>
          </cell>
          <cell r="C115" t="str">
            <v>Sokol Plzeň V.</v>
          </cell>
          <cell r="D115">
            <v>2002</v>
          </cell>
        </row>
        <row r="116">
          <cell r="A116">
            <v>112</v>
          </cell>
          <cell r="B116" t="str">
            <v>Jirka Lukáš</v>
          </cell>
          <cell r="C116" t="str">
            <v>TJ Sokol Chrudim</v>
          </cell>
          <cell r="D116">
            <v>1999</v>
          </cell>
        </row>
        <row r="117">
          <cell r="A117">
            <v>113</v>
          </cell>
          <cell r="B117" t="str">
            <v>Pustka Matouš</v>
          </cell>
          <cell r="C117" t="str">
            <v>TTC Bělá pod Bezdězem</v>
          </cell>
          <cell r="D117">
            <v>2001</v>
          </cell>
        </row>
        <row r="118">
          <cell r="A118">
            <v>114</v>
          </cell>
          <cell r="B118" t="str">
            <v>Veigl Lukáš</v>
          </cell>
          <cell r="C118" t="str">
            <v>KST Jeseník</v>
          </cell>
          <cell r="D118">
            <v>2001</v>
          </cell>
        </row>
        <row r="119">
          <cell r="A119">
            <v>115</v>
          </cell>
          <cell r="B119" t="str">
            <v>Beran Matěj</v>
          </cell>
          <cell r="C119" t="str">
            <v>SK DDM Kotlářka Praha</v>
          </cell>
          <cell r="D119">
            <v>2001</v>
          </cell>
        </row>
        <row r="120">
          <cell r="A120">
            <v>116</v>
          </cell>
          <cell r="B120" t="str">
            <v>Zeman Lukáš</v>
          </cell>
          <cell r="C120" t="str">
            <v>KST Orel ČB</v>
          </cell>
          <cell r="D120">
            <v>2001</v>
          </cell>
        </row>
        <row r="121">
          <cell r="A121">
            <v>117</v>
          </cell>
          <cell r="B121" t="str">
            <v>Divecký Filip</v>
          </cell>
          <cell r="C121" t="str">
            <v>TJ Sokol Jaroměř-Josefov</v>
          </cell>
          <cell r="D121">
            <v>2000</v>
          </cell>
        </row>
        <row r="122">
          <cell r="A122">
            <v>118</v>
          </cell>
          <cell r="B122" t="str">
            <v>Waldhauser Vojtěch</v>
          </cell>
          <cell r="C122" t="str">
            <v>SKST Liberec</v>
          </cell>
          <cell r="D122">
            <v>2000</v>
          </cell>
        </row>
        <row r="123">
          <cell r="A123">
            <v>119</v>
          </cell>
          <cell r="B123" t="str">
            <v>Marat Filip</v>
          </cell>
          <cell r="C123" t="str">
            <v>TTC Elizza Praha</v>
          </cell>
          <cell r="D123">
            <v>2002</v>
          </cell>
        </row>
        <row r="124">
          <cell r="A124">
            <v>120</v>
          </cell>
          <cell r="B124" t="str">
            <v>Skopal Dalibor</v>
          </cell>
          <cell r="C124" t="str">
            <v>SK Přerov</v>
          </cell>
          <cell r="D124">
            <v>2002</v>
          </cell>
        </row>
        <row r="125">
          <cell r="A125">
            <v>121</v>
          </cell>
          <cell r="B125" t="str">
            <v>Slavíček Martin</v>
          </cell>
          <cell r="C125" t="str">
            <v>TTC Ústí nad Orlicí</v>
          </cell>
          <cell r="D125">
            <v>2000</v>
          </cell>
        </row>
        <row r="126">
          <cell r="A126">
            <v>122</v>
          </cell>
          <cell r="B126" t="str">
            <v>Komín Ondřej</v>
          </cell>
          <cell r="C126" t="str">
            <v>TJ Slovan Bohnice</v>
          </cell>
          <cell r="D126">
            <v>1999</v>
          </cell>
        </row>
        <row r="127">
          <cell r="A127">
            <v>123</v>
          </cell>
          <cell r="B127" t="str">
            <v>Němec Filip</v>
          </cell>
          <cell r="C127" t="str">
            <v>SK DDM Kotlářka Praha</v>
          </cell>
          <cell r="D127">
            <v>2002</v>
          </cell>
        </row>
        <row r="128">
          <cell r="A128">
            <v>124</v>
          </cell>
          <cell r="B128" t="str">
            <v>Janda Michal</v>
          </cell>
          <cell r="C128" t="str">
            <v>Slavoj Kynšperk n.O.</v>
          </cell>
          <cell r="D128">
            <v>1999</v>
          </cell>
        </row>
        <row r="129">
          <cell r="A129">
            <v>125</v>
          </cell>
          <cell r="B129" t="str">
            <v>Hortlík Tomáš</v>
          </cell>
          <cell r="C129" t="str">
            <v>TTC Ústí nad Orlicí</v>
          </cell>
          <cell r="D129">
            <v>1999</v>
          </cell>
        </row>
        <row r="130">
          <cell r="A130">
            <v>126</v>
          </cell>
          <cell r="B130" t="str">
            <v>Valošek Jakub</v>
          </cell>
          <cell r="C130" t="str">
            <v>TJ Ostrava KST</v>
          </cell>
          <cell r="D130">
            <v>2000</v>
          </cell>
        </row>
        <row r="131">
          <cell r="A131">
            <v>127</v>
          </cell>
          <cell r="B131" t="str">
            <v>Závora Adam</v>
          </cell>
          <cell r="C131" t="str">
            <v>TJ Union Plzeň</v>
          </cell>
          <cell r="D131">
            <v>2001</v>
          </cell>
        </row>
        <row r="132">
          <cell r="A132">
            <v>128</v>
          </cell>
          <cell r="B132" t="str">
            <v>Vybíral Matouš</v>
          </cell>
          <cell r="C132" t="str">
            <v>Znojmo</v>
          </cell>
          <cell r="D132">
            <v>2001</v>
          </cell>
        </row>
        <row r="133">
          <cell r="A133">
            <v>129</v>
          </cell>
          <cell r="B133" t="str">
            <v>Branný Tomáš</v>
          </cell>
          <cell r="C133" t="str">
            <v>SKST Baník Havířov</v>
          </cell>
          <cell r="D133">
            <v>2002</v>
          </cell>
        </row>
        <row r="134">
          <cell r="A134">
            <v>130</v>
          </cell>
        </row>
        <row r="135">
          <cell r="A135">
            <v>131</v>
          </cell>
          <cell r="B135" t="str">
            <v>Koutník Vojtěch</v>
          </cell>
          <cell r="C135" t="str">
            <v>TJ Sokol Plzeň V.</v>
          </cell>
          <cell r="D135">
            <v>1998</v>
          </cell>
        </row>
        <row r="136">
          <cell r="A136">
            <v>132</v>
          </cell>
          <cell r="B136" t="str">
            <v>Kulveit Jonáš</v>
          </cell>
          <cell r="C136" t="str">
            <v>TJ Slavoj Praha</v>
          </cell>
          <cell r="D136">
            <v>2001</v>
          </cell>
        </row>
        <row r="137">
          <cell r="A137">
            <v>133</v>
          </cell>
          <cell r="B137" t="str">
            <v>Kupec Ladislav</v>
          </cell>
          <cell r="C137" t="str">
            <v>TTC Siko Orlová</v>
          </cell>
          <cell r="D137">
            <v>1998</v>
          </cell>
        </row>
        <row r="138">
          <cell r="A138">
            <v>134</v>
          </cell>
          <cell r="B138" t="str">
            <v>Fencl Tomáš</v>
          </cell>
          <cell r="C138" t="str">
            <v>KST Orel ČB</v>
          </cell>
          <cell r="D138">
            <v>2000</v>
          </cell>
        </row>
        <row r="139">
          <cell r="A139">
            <v>135</v>
          </cell>
          <cell r="B139" t="str">
            <v>Kučera Martin</v>
          </cell>
          <cell r="C139" t="str">
            <v>SK US Steinerova Choceň</v>
          </cell>
          <cell r="D139">
            <v>1998</v>
          </cell>
        </row>
        <row r="140">
          <cell r="A140">
            <v>136</v>
          </cell>
          <cell r="B140" t="str">
            <v>Votruba Vojtěch</v>
          </cell>
          <cell r="C140" t="str">
            <v>TJ Tesla Pardubice</v>
          </cell>
          <cell r="D140">
            <v>1999</v>
          </cell>
        </row>
        <row r="141">
          <cell r="A141">
            <v>137</v>
          </cell>
          <cell r="B141" t="str">
            <v>Dočekal Petr</v>
          </cell>
          <cell r="C141" t="str">
            <v>TJ Sokol Brno I.</v>
          </cell>
          <cell r="D141">
            <v>1999</v>
          </cell>
        </row>
        <row r="142">
          <cell r="A142">
            <v>138</v>
          </cell>
          <cell r="B142" t="str">
            <v>Goldman David</v>
          </cell>
          <cell r="C142" t="str">
            <v>KST ZŠ Vyšší Brod</v>
          </cell>
          <cell r="D142">
            <v>2000</v>
          </cell>
        </row>
        <row r="143">
          <cell r="A143">
            <v>139</v>
          </cell>
          <cell r="B143" t="str">
            <v>Dohnal Vojtěch</v>
          </cell>
          <cell r="C143" t="str">
            <v>KST Hluk</v>
          </cell>
          <cell r="D143">
            <v>1998</v>
          </cell>
        </row>
        <row r="144">
          <cell r="A144">
            <v>140</v>
          </cell>
          <cell r="B144" t="str">
            <v>Nguyen Tuan Anh</v>
          </cell>
          <cell r="C144" t="str">
            <v>Sokol Brno I.</v>
          </cell>
          <cell r="D144">
            <v>1998</v>
          </cell>
        </row>
        <row r="145">
          <cell r="A145">
            <v>141</v>
          </cell>
          <cell r="B145" t="str">
            <v>Pindur Jakub</v>
          </cell>
          <cell r="C145" t="str">
            <v>SKST Baník Havířov</v>
          </cell>
          <cell r="D145">
            <v>2000</v>
          </cell>
        </row>
        <row r="146">
          <cell r="A146">
            <v>142</v>
          </cell>
          <cell r="B146" t="str">
            <v>Daníček Adam</v>
          </cell>
          <cell r="C146" t="str">
            <v>TTC Elizza Praha</v>
          </cell>
          <cell r="D146">
            <v>2000</v>
          </cell>
        </row>
        <row r="147">
          <cell r="A147">
            <v>143</v>
          </cell>
          <cell r="B147" t="str">
            <v>Hložek Tomáš</v>
          </cell>
          <cell r="C147" t="str">
            <v>DDM Soběslav</v>
          </cell>
          <cell r="D147">
            <v>2000</v>
          </cell>
        </row>
        <row r="148">
          <cell r="A148">
            <v>144</v>
          </cell>
          <cell r="B148" t="str">
            <v>Střelec Jiří</v>
          </cell>
          <cell r="C148" t="str">
            <v>KST Zlín</v>
          </cell>
          <cell r="D148">
            <v>1998</v>
          </cell>
        </row>
        <row r="149">
          <cell r="A149">
            <v>145</v>
          </cell>
          <cell r="B149" t="str">
            <v>Vlach Michal</v>
          </cell>
          <cell r="C149" t="str">
            <v>TJ Sokol Němčice n.H.</v>
          </cell>
          <cell r="D149">
            <v>1998</v>
          </cell>
        </row>
        <row r="150">
          <cell r="A150">
            <v>146</v>
          </cell>
          <cell r="B150" t="str">
            <v>Hoch Vítek</v>
          </cell>
          <cell r="C150" t="str">
            <v>TJ Sokol Kobylí</v>
          </cell>
          <cell r="D150">
            <v>2000</v>
          </cell>
        </row>
        <row r="151">
          <cell r="A151">
            <v>147</v>
          </cell>
          <cell r="B151" t="str">
            <v>Šula Petr</v>
          </cell>
          <cell r="C151" t="str">
            <v>TJ Sokol Chrudim</v>
          </cell>
          <cell r="D151">
            <v>1998</v>
          </cell>
        </row>
        <row r="152">
          <cell r="A152">
            <v>148</v>
          </cell>
          <cell r="B152" t="str">
            <v>Kellner Aleš</v>
          </cell>
          <cell r="C152" t="str">
            <v>KST Blansko</v>
          </cell>
          <cell r="D152">
            <v>2000</v>
          </cell>
        </row>
        <row r="153">
          <cell r="A153">
            <v>149</v>
          </cell>
          <cell r="B153" t="str">
            <v>Jílek Jan</v>
          </cell>
          <cell r="C153" t="str">
            <v>TJ Sokol České Meziříčí</v>
          </cell>
          <cell r="D153">
            <v>2001</v>
          </cell>
        </row>
        <row r="154">
          <cell r="A154">
            <v>150</v>
          </cell>
          <cell r="B154" t="str">
            <v>Bednář Josef</v>
          </cell>
          <cell r="C154" t="str">
            <v>KST Blansko</v>
          </cell>
          <cell r="D154">
            <v>2001</v>
          </cell>
        </row>
        <row r="155">
          <cell r="A155">
            <v>151</v>
          </cell>
          <cell r="B155" t="str">
            <v>Beneš Václav</v>
          </cell>
          <cell r="C155" t="str">
            <v>SK US Steinerova Choceň</v>
          </cell>
          <cell r="D155">
            <v>1998</v>
          </cell>
        </row>
        <row r="156">
          <cell r="A156">
            <v>152</v>
          </cell>
          <cell r="B156" t="str">
            <v>Čada Hynek</v>
          </cell>
          <cell r="C156" t="str">
            <v>TJ Slávia Kroměříž</v>
          </cell>
          <cell r="D156">
            <v>1999</v>
          </cell>
        </row>
        <row r="157">
          <cell r="A157">
            <v>153</v>
          </cell>
          <cell r="B157" t="str">
            <v>Hanák Vojtěch</v>
          </cell>
          <cell r="C157" t="str">
            <v>TTC Siko Orlová</v>
          </cell>
          <cell r="D157">
            <v>2000</v>
          </cell>
        </row>
        <row r="158">
          <cell r="A158">
            <v>154</v>
          </cell>
          <cell r="B158" t="str">
            <v>Fiala Jan</v>
          </cell>
          <cell r="C158" t="str">
            <v>TJ Sokol Mníšek pod Brdy</v>
          </cell>
          <cell r="D158">
            <v>1998</v>
          </cell>
        </row>
        <row r="159">
          <cell r="A159">
            <v>155</v>
          </cell>
          <cell r="B159" t="str">
            <v>Končal Štěpán</v>
          </cell>
          <cell r="C159" t="str">
            <v>KST Klatovy</v>
          </cell>
          <cell r="D159">
            <v>1998</v>
          </cell>
        </row>
        <row r="160">
          <cell r="A160">
            <v>156</v>
          </cell>
          <cell r="B160" t="str">
            <v>Štěpnička Michal</v>
          </cell>
          <cell r="C160" t="str">
            <v>TJ Sever Žatec</v>
          </cell>
          <cell r="D160">
            <v>1998</v>
          </cell>
        </row>
        <row r="161">
          <cell r="A161">
            <v>157</v>
          </cell>
          <cell r="B161" t="str">
            <v>Marel David</v>
          </cell>
          <cell r="C161" t="str">
            <v>TJ Tesla Pardubice</v>
          </cell>
          <cell r="D161">
            <v>1999</v>
          </cell>
        </row>
        <row r="162">
          <cell r="A162">
            <v>158</v>
          </cell>
          <cell r="B162" t="str">
            <v>Dvořák Jan</v>
          </cell>
          <cell r="C162" t="str">
            <v>SK DDM Kotlářka Praha</v>
          </cell>
          <cell r="D162">
            <v>2000</v>
          </cell>
        </row>
        <row r="163">
          <cell r="A163">
            <v>159</v>
          </cell>
          <cell r="B163" t="str">
            <v>Kozák Ondřej</v>
          </cell>
          <cell r="C163" t="str">
            <v>TJ Sokol Jaroměř-Josefov</v>
          </cell>
          <cell r="D163">
            <v>1998</v>
          </cell>
        </row>
        <row r="164">
          <cell r="A164">
            <v>160</v>
          </cell>
          <cell r="B164" t="str">
            <v>Pilař Jiří</v>
          </cell>
          <cell r="C164" t="str">
            <v>TJ Sokol Jaroměř-Josefov</v>
          </cell>
          <cell r="D164">
            <v>1998</v>
          </cell>
        </row>
        <row r="165">
          <cell r="A165">
            <v>161</v>
          </cell>
          <cell r="B165" t="str">
            <v>Pilař Matěj</v>
          </cell>
          <cell r="C165" t="str">
            <v>TJ Sokol Jaroměř-Josefov</v>
          </cell>
          <cell r="D165">
            <v>2000</v>
          </cell>
        </row>
        <row r="166">
          <cell r="A166">
            <v>162</v>
          </cell>
          <cell r="B166" t="str">
            <v>Žáček Michal</v>
          </cell>
          <cell r="C166" t="str">
            <v>KST Blansko</v>
          </cell>
          <cell r="D166">
            <v>1999</v>
          </cell>
        </row>
        <row r="167">
          <cell r="A167">
            <v>163</v>
          </cell>
          <cell r="B167" t="str">
            <v>Endal Sebastian</v>
          </cell>
          <cell r="C167" t="str">
            <v>SKST Baník Havířov</v>
          </cell>
          <cell r="D167">
            <v>1999</v>
          </cell>
        </row>
        <row r="168">
          <cell r="A168">
            <v>164</v>
          </cell>
          <cell r="B168" t="str">
            <v>Muroň Ondřej</v>
          </cell>
          <cell r="C168" t="str">
            <v>KST Slezan Opava</v>
          </cell>
          <cell r="D168">
            <v>1999</v>
          </cell>
        </row>
        <row r="169">
          <cell r="A169">
            <v>165</v>
          </cell>
          <cell r="B169" t="str">
            <v>Huk Martin</v>
          </cell>
          <cell r="C169" t="str">
            <v>SKST Liberec</v>
          </cell>
          <cell r="D169">
            <v>2000</v>
          </cell>
        </row>
        <row r="170">
          <cell r="A170">
            <v>166</v>
          </cell>
          <cell r="B170" t="str">
            <v>Valčík Lukáš</v>
          </cell>
          <cell r="C170" t="str">
            <v>TJ Sokol Jaroměř-Josefov</v>
          </cell>
          <cell r="D170">
            <v>2000</v>
          </cell>
        </row>
        <row r="171">
          <cell r="A171">
            <v>167</v>
          </cell>
          <cell r="B171" t="str">
            <v>Záhrubský David</v>
          </cell>
          <cell r="C171" t="str">
            <v>TTC Kladno</v>
          </cell>
          <cell r="D171">
            <v>2000</v>
          </cell>
        </row>
        <row r="172">
          <cell r="A172">
            <v>168</v>
          </cell>
          <cell r="B172" t="str">
            <v>Skopec Daniel</v>
          </cell>
          <cell r="C172" t="str">
            <v>AC Sparta Praha</v>
          </cell>
          <cell r="D172">
            <v>2001</v>
          </cell>
        </row>
        <row r="173">
          <cell r="A173">
            <v>169</v>
          </cell>
          <cell r="B173" t="str">
            <v>Čenovský David</v>
          </cell>
          <cell r="C173" t="str">
            <v>TJ Sokol Jaroměř-Josefov</v>
          </cell>
          <cell r="D173">
            <v>2002</v>
          </cell>
        </row>
        <row r="174">
          <cell r="A174">
            <v>170</v>
          </cell>
          <cell r="B174" t="str">
            <v>Tran Martin</v>
          </cell>
          <cell r="C174" t="str">
            <v>KST ZŠ Vyšší Brod</v>
          </cell>
          <cell r="D174">
            <v>2001</v>
          </cell>
        </row>
        <row r="175">
          <cell r="A175">
            <v>171</v>
          </cell>
          <cell r="B175" t="str">
            <v>Mitka Kryštof</v>
          </cell>
          <cell r="C175" t="str">
            <v>TTC Brandýs nad Labem</v>
          </cell>
          <cell r="D175">
            <v>2002</v>
          </cell>
        </row>
        <row r="176">
          <cell r="A176">
            <v>172</v>
          </cell>
          <cell r="B176" t="str">
            <v>Balát Kryštof</v>
          </cell>
          <cell r="C176" t="str">
            <v>TTC Brandýs nad Labem</v>
          </cell>
          <cell r="D176">
            <v>2001</v>
          </cell>
        </row>
        <row r="177">
          <cell r="A177">
            <v>173</v>
          </cell>
          <cell r="B177" t="str">
            <v>Kubelka Martin</v>
          </cell>
          <cell r="C177" t="str">
            <v>SK DDM Kotlářka Praha</v>
          </cell>
          <cell r="D177">
            <v>2001</v>
          </cell>
        </row>
        <row r="178">
          <cell r="A178">
            <v>174</v>
          </cell>
          <cell r="B178" t="str">
            <v>Molin Vojtěch</v>
          </cell>
          <cell r="C178" t="str">
            <v>Orel Stará Bělá</v>
          </cell>
          <cell r="D178">
            <v>2000</v>
          </cell>
        </row>
        <row r="179">
          <cell r="A179">
            <v>175</v>
          </cell>
          <cell r="B179" t="str">
            <v>Sikora Robert</v>
          </cell>
          <cell r="C179" t="str">
            <v>SIKO Orlová</v>
          </cell>
          <cell r="D179">
            <v>2000</v>
          </cell>
        </row>
        <row r="180">
          <cell r="A180">
            <v>176</v>
          </cell>
          <cell r="B180" t="str">
            <v>Hendrych Daniel</v>
          </cell>
          <cell r="C180" t="str">
            <v>TJ Odry</v>
          </cell>
          <cell r="D180">
            <v>1998</v>
          </cell>
        </row>
        <row r="181">
          <cell r="A181">
            <v>177</v>
          </cell>
        </row>
        <row r="182">
          <cell r="A182">
            <v>178</v>
          </cell>
          <cell r="B182" t="str">
            <v>Ondráček Jan</v>
          </cell>
          <cell r="C182" t="str">
            <v>TJ Sokol Studená</v>
          </cell>
          <cell r="D182">
            <v>2002</v>
          </cell>
        </row>
        <row r="183">
          <cell r="A183">
            <v>179</v>
          </cell>
          <cell r="B183" t="str">
            <v>Šindelář Radim</v>
          </cell>
          <cell r="C183" t="str">
            <v>TJ Sokol Studená</v>
          </cell>
          <cell r="D183">
            <v>2000</v>
          </cell>
        </row>
        <row r="184">
          <cell r="A184">
            <v>180</v>
          </cell>
          <cell r="B184" t="str">
            <v>Mastný Tomáš</v>
          </cell>
          <cell r="C184" t="str">
            <v>TJ Sokol Studená</v>
          </cell>
          <cell r="D184">
            <v>2000</v>
          </cell>
        </row>
        <row r="185">
          <cell r="A185">
            <v>181</v>
          </cell>
          <cell r="B185" t="str">
            <v>Kopecký Filip</v>
          </cell>
          <cell r="C185" t="str">
            <v>TTC Litoměřice</v>
          </cell>
          <cell r="D185">
            <v>2002</v>
          </cell>
        </row>
        <row r="186">
          <cell r="A186">
            <v>182</v>
          </cell>
          <cell r="B186" t="str">
            <v>Dobej Michal</v>
          </cell>
          <cell r="C186" t="str">
            <v>STC Slaný</v>
          </cell>
          <cell r="D186">
            <v>2001</v>
          </cell>
        </row>
        <row r="187">
          <cell r="A187">
            <v>183</v>
          </cell>
          <cell r="B187" t="str">
            <v>Macurák Michal</v>
          </cell>
          <cell r="C187" t="str">
            <v>SKST Baník Havířov</v>
          </cell>
          <cell r="D187">
            <v>2002</v>
          </cell>
        </row>
        <row r="188">
          <cell r="A188">
            <v>184</v>
          </cell>
          <cell r="B188" t="str">
            <v>Bohdanecký Jakub</v>
          </cell>
          <cell r="C188" t="str">
            <v>TJ Sokol PP Hradec Králové 2</v>
          </cell>
          <cell r="D188">
            <v>2002</v>
          </cell>
        </row>
        <row r="189">
          <cell r="A189">
            <v>185</v>
          </cell>
          <cell r="B189" t="str">
            <v>Sysel Vojtěch</v>
          </cell>
          <cell r="C189" t="str">
            <v>TTC Brandýs nad Labem</v>
          </cell>
          <cell r="D189">
            <v>2000</v>
          </cell>
        </row>
        <row r="190">
          <cell r="A190">
            <v>186</v>
          </cell>
          <cell r="B190" t="str">
            <v>Hofman Adrian</v>
          </cell>
          <cell r="C190" t="str">
            <v>SK Frýdlant nad Ostravicí</v>
          </cell>
          <cell r="D190">
            <v>2001</v>
          </cell>
        </row>
        <row r="191">
          <cell r="A191">
            <v>187</v>
          </cell>
          <cell r="B191" t="str">
            <v>Vaněk Petr</v>
          </cell>
          <cell r="C191" t="str">
            <v>TJ Slavoj Praha</v>
          </cell>
          <cell r="D191">
            <v>2001</v>
          </cell>
        </row>
        <row r="192">
          <cell r="A192">
            <v>188</v>
          </cell>
          <cell r="B192" t="str">
            <v>Buček Tadeáš</v>
          </cell>
          <cell r="C192" t="str">
            <v>TJ Slavoj Praha</v>
          </cell>
          <cell r="D192">
            <v>2002</v>
          </cell>
        </row>
        <row r="193">
          <cell r="A193">
            <v>189</v>
          </cell>
          <cell r="B193" t="str">
            <v>Cvrkal Rudolf</v>
          </cell>
          <cell r="C193" t="str">
            <v>TTC Koral Tišnov</v>
          </cell>
          <cell r="D193">
            <v>2000</v>
          </cell>
        </row>
        <row r="194">
          <cell r="A194">
            <v>190</v>
          </cell>
          <cell r="B194" t="str">
            <v>Lorenc David</v>
          </cell>
          <cell r="C194" t="str">
            <v>SKST Hodonín</v>
          </cell>
          <cell r="D194">
            <v>2002</v>
          </cell>
        </row>
        <row r="195">
          <cell r="A195">
            <v>191</v>
          </cell>
          <cell r="B195" t="str">
            <v>Bruckner Tomáš</v>
          </cell>
          <cell r="C195" t="str">
            <v>MSK Břeclav</v>
          </cell>
          <cell r="D195">
            <v>2002</v>
          </cell>
        </row>
        <row r="196">
          <cell r="A196">
            <v>192</v>
          </cell>
          <cell r="B196" t="str">
            <v>Dočekal Petr</v>
          </cell>
          <cell r="C196" t="str">
            <v>Sokol Brno I</v>
          </cell>
          <cell r="D196">
            <v>1999</v>
          </cell>
        </row>
        <row r="197">
          <cell r="A197">
            <v>193</v>
          </cell>
          <cell r="B197" t="str">
            <v>Himal Tomáš</v>
          </cell>
          <cell r="C197" t="str">
            <v>TJ Jevišovka</v>
          </cell>
          <cell r="D197">
            <v>1999</v>
          </cell>
        </row>
        <row r="198">
          <cell r="A198">
            <v>194</v>
          </cell>
          <cell r="B198" t="str">
            <v>Nečas František</v>
          </cell>
          <cell r="C198" t="str">
            <v>TJ Nové Město na Moravě</v>
          </cell>
          <cell r="D198">
            <v>1999</v>
          </cell>
        </row>
        <row r="199">
          <cell r="A199">
            <v>195</v>
          </cell>
          <cell r="B199" t="str">
            <v>Dvořák Vítek</v>
          </cell>
          <cell r="C199" t="str">
            <v>Exiteria KST Jeseník</v>
          </cell>
          <cell r="D199">
            <v>2000</v>
          </cell>
        </row>
        <row r="200">
          <cell r="A200">
            <v>196</v>
          </cell>
          <cell r="B200" t="str">
            <v>Lisý Tomáš</v>
          </cell>
          <cell r="C200" t="str">
            <v>TJ Jevišovka</v>
          </cell>
          <cell r="D200">
            <v>2002</v>
          </cell>
        </row>
        <row r="201">
          <cell r="A201">
            <v>197</v>
          </cell>
          <cell r="B201" t="str">
            <v>Harna Václav</v>
          </cell>
          <cell r="C201" t="str">
            <v>KST Blansko</v>
          </cell>
          <cell r="D201">
            <v>1999</v>
          </cell>
        </row>
        <row r="202">
          <cell r="A202">
            <v>198</v>
          </cell>
          <cell r="B202" t="str">
            <v>Kučera Ondřej</v>
          </cell>
          <cell r="C202" t="str">
            <v>KST Dolní Němčí</v>
          </cell>
          <cell r="D202">
            <v>2001</v>
          </cell>
        </row>
        <row r="203">
          <cell r="A203">
            <v>199</v>
          </cell>
          <cell r="B203" t="str">
            <v>Hemer Matyáš</v>
          </cell>
          <cell r="C203" t="str">
            <v>TTC Litoměřice</v>
          </cell>
          <cell r="D203">
            <v>2001</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95</v>
          </cell>
        </row>
      </sheetData>
      <sheetData sheetId="14">
        <row r="10">
          <cell r="C10" t="str">
            <v>Pašek Dominik</v>
          </cell>
          <cell r="F10" t="str">
            <v>bye</v>
          </cell>
          <cell r="P10" t="str">
            <v/>
          </cell>
          <cell r="Q10" t="str">
            <v/>
          </cell>
          <cell r="S10" t="str">
            <v/>
          </cell>
        </row>
        <row r="11">
          <cell r="C11" t="str">
            <v>Kopecký Filip</v>
          </cell>
          <cell r="F11" t="str">
            <v>Vacek Jan</v>
          </cell>
          <cell r="P11">
            <v>181</v>
          </cell>
          <cell r="Q11" t="str">
            <v>Kopecký Filip</v>
          </cell>
          <cell r="S11" t="str">
            <v>3:0 (9,4,9)</v>
          </cell>
        </row>
        <row r="12">
          <cell r="C12" t="str">
            <v>Lorenc David</v>
          </cell>
          <cell r="F12" t="str">
            <v>Vybíral Matouš</v>
          </cell>
          <cell r="P12">
            <v>128</v>
          </cell>
          <cell r="Q12" t="str">
            <v>Vybíral Matouš</v>
          </cell>
          <cell r="S12" t="str">
            <v>3:1 (-8,7,4,10)</v>
          </cell>
        </row>
        <row r="13">
          <cell r="C13" t="str">
            <v>bye</v>
          </cell>
          <cell r="F13" t="str">
            <v>Bako Radim</v>
          </cell>
          <cell r="P13" t="str">
            <v/>
          </cell>
          <cell r="Q13" t="str">
            <v/>
          </cell>
          <cell r="S13" t="str">
            <v/>
          </cell>
        </row>
        <row r="14">
          <cell r="C14" t="str">
            <v>Vévoda Ondřej</v>
          </cell>
          <cell r="F14" t="str">
            <v>bye</v>
          </cell>
          <cell r="P14" t="str">
            <v/>
          </cell>
          <cell r="Q14" t="str">
            <v/>
          </cell>
          <cell r="S14" t="str">
            <v/>
          </cell>
        </row>
        <row r="15">
          <cell r="C15" t="str">
            <v>Procházka Jaroslav</v>
          </cell>
          <cell r="F15" t="str">
            <v>Hofman Adrian</v>
          </cell>
          <cell r="P15">
            <v>75</v>
          </cell>
          <cell r="Q15" t="str">
            <v>Procházka Jaroslav</v>
          </cell>
          <cell r="S15" t="str">
            <v>wo</v>
          </cell>
        </row>
        <row r="16">
          <cell r="C16" t="str">
            <v>Jadrný Šimon</v>
          </cell>
          <cell r="F16" t="str">
            <v>Hušek Adam</v>
          </cell>
          <cell r="P16">
            <v>60</v>
          </cell>
          <cell r="Q16" t="str">
            <v>Hušek Adam</v>
          </cell>
          <cell r="S16" t="str">
            <v>3:1 (12,-8,9,6)</v>
          </cell>
        </row>
        <row r="17">
          <cell r="C17" t="str">
            <v>bye</v>
          </cell>
          <cell r="F17" t="str">
            <v>Skalský Ondřej</v>
          </cell>
          <cell r="P17" t="str">
            <v/>
          </cell>
          <cell r="Q17" t="str">
            <v/>
          </cell>
          <cell r="S17" t="str">
            <v/>
          </cell>
        </row>
        <row r="18">
          <cell r="C18" t="str">
            <v>Martinko Tomáš</v>
          </cell>
          <cell r="F18" t="str">
            <v>bye</v>
          </cell>
          <cell r="P18" t="str">
            <v/>
          </cell>
          <cell r="Q18" t="str">
            <v/>
          </cell>
          <cell r="S18" t="str">
            <v/>
          </cell>
        </row>
        <row r="19">
          <cell r="C19" t="str">
            <v>Lisý Tomáš</v>
          </cell>
          <cell r="F19" t="str">
            <v>Goldman David</v>
          </cell>
          <cell r="P19">
            <v>138</v>
          </cell>
          <cell r="Q19" t="str">
            <v>Goldman David</v>
          </cell>
          <cell r="S19" t="str">
            <v>3:0 (6,3,5)</v>
          </cell>
        </row>
        <row r="20">
          <cell r="C20" t="str">
            <v>Dvořák Petr</v>
          </cell>
          <cell r="F20" t="str">
            <v>Jirásek Martin</v>
          </cell>
          <cell r="P20">
            <v>62</v>
          </cell>
          <cell r="Q20" t="str">
            <v>Dvořák Petr</v>
          </cell>
          <cell r="S20" t="str">
            <v>3:2 (9,-10,-5,6,7)</v>
          </cell>
        </row>
        <row r="21">
          <cell r="C21" t="str">
            <v>bye</v>
          </cell>
          <cell r="F21" t="str">
            <v>Blinka Michal</v>
          </cell>
          <cell r="P21" t="str">
            <v/>
          </cell>
          <cell r="Q21" t="str">
            <v/>
          </cell>
          <cell r="S21" t="str">
            <v/>
          </cell>
        </row>
        <row r="22">
          <cell r="C22" t="str">
            <v>Vybíral Filip</v>
          </cell>
          <cell r="F22" t="str">
            <v>bye</v>
          </cell>
          <cell r="P22" t="str">
            <v/>
          </cell>
          <cell r="Q22" t="str">
            <v/>
          </cell>
          <cell r="S22" t="str">
            <v/>
          </cell>
        </row>
        <row r="23">
          <cell r="F23" t="str">
            <v>Hemer Matyáš</v>
          </cell>
          <cell r="P23">
            <v>103</v>
          </cell>
          <cell r="Q23" t="str">
            <v>Šimůnek Ondřej</v>
          </cell>
          <cell r="S23" t="str">
            <v>wo</v>
          </cell>
        </row>
        <row r="24">
          <cell r="C24" t="str">
            <v>Zeman Lukáš</v>
          </cell>
          <cell r="F24" t="str">
            <v>Šimota Dominik</v>
          </cell>
          <cell r="P24">
            <v>116</v>
          </cell>
          <cell r="Q24" t="str">
            <v>Zeman Lukáš</v>
          </cell>
          <cell r="S24" t="str">
            <v>3:1 (9,-9,4,8)</v>
          </cell>
        </row>
        <row r="25">
          <cell r="C25" t="str">
            <v>bye</v>
          </cell>
          <cell r="F25" t="str">
            <v>Vlach Martin</v>
          </cell>
          <cell r="P25" t="str">
            <v/>
          </cell>
          <cell r="Q25" t="str">
            <v/>
          </cell>
          <cell r="S25" t="str">
            <v/>
          </cell>
        </row>
        <row r="26">
          <cell r="C26" t="str">
            <v>Kortus Filip</v>
          </cell>
          <cell r="F26" t="str">
            <v>bye</v>
          </cell>
          <cell r="P26" t="str">
            <v/>
          </cell>
          <cell r="Q26" t="str">
            <v/>
          </cell>
          <cell r="S26" t="str">
            <v/>
          </cell>
        </row>
        <row r="27">
          <cell r="C27" t="str">
            <v>Veigl Lukáš</v>
          </cell>
          <cell r="F27" t="str">
            <v>Šebl Jáchym</v>
          </cell>
          <cell r="P27">
            <v>114</v>
          </cell>
          <cell r="Q27" t="str">
            <v>Veigl Lukáš</v>
          </cell>
          <cell r="S27" t="str">
            <v>3:0 (5,4,11)</v>
          </cell>
        </row>
        <row r="28">
          <cell r="C28" t="str">
            <v>Šindelář Radim</v>
          </cell>
          <cell r="F28" t="str">
            <v>Podrazil David</v>
          </cell>
          <cell r="P28">
            <v>94</v>
          </cell>
          <cell r="Q28" t="str">
            <v>Podrazil David</v>
          </cell>
          <cell r="S28" t="str">
            <v>3:0 (6,7,5)</v>
          </cell>
        </row>
        <row r="29">
          <cell r="C29" t="str">
            <v>bye</v>
          </cell>
          <cell r="F29" t="str">
            <v>Vaculík Miloslav</v>
          </cell>
          <cell r="P29" t="str">
            <v/>
          </cell>
          <cell r="Q29" t="str">
            <v/>
          </cell>
          <cell r="S29" t="str">
            <v/>
          </cell>
        </row>
        <row r="30">
          <cell r="C30" t="str">
            <v>Hýbl Jan</v>
          </cell>
          <cell r="F30" t="str">
            <v>bye</v>
          </cell>
          <cell r="P30" t="str">
            <v/>
          </cell>
          <cell r="Q30" t="str">
            <v/>
          </cell>
          <cell r="S30" t="str">
            <v/>
          </cell>
        </row>
        <row r="31">
          <cell r="C31" t="str">
            <v>Rusnák Aleš</v>
          </cell>
          <cell r="F31" t="str">
            <v>Dočekal Petr</v>
          </cell>
          <cell r="P31">
            <v>85</v>
          </cell>
          <cell r="Q31" t="str">
            <v>Rusnák Aleš</v>
          </cell>
          <cell r="S31" t="str">
            <v>3:0 (12,4,2)</v>
          </cell>
        </row>
        <row r="32">
          <cell r="C32" t="str">
            <v>Dobej Michal</v>
          </cell>
          <cell r="F32" t="str">
            <v>Branný Tomáš</v>
          </cell>
          <cell r="P32">
            <v>129</v>
          </cell>
          <cell r="Q32" t="str">
            <v>Branný Tomáš</v>
          </cell>
          <cell r="S32" t="str">
            <v>3:0 (5,8,8)</v>
          </cell>
        </row>
        <row r="33">
          <cell r="C33" t="str">
            <v>bye</v>
          </cell>
          <cell r="F33" t="str">
            <v>Krejcar Vilém</v>
          </cell>
          <cell r="P33" t="str">
            <v/>
          </cell>
          <cell r="Q33" t="str">
            <v/>
          </cell>
          <cell r="S33" t="str">
            <v/>
          </cell>
        </row>
        <row r="34">
          <cell r="C34" t="str">
            <v>Koubek Vojtěch</v>
          </cell>
          <cell r="F34" t="str">
            <v>bye</v>
          </cell>
          <cell r="P34" t="str">
            <v/>
          </cell>
          <cell r="Q34" t="str">
            <v/>
          </cell>
          <cell r="S34" t="str">
            <v/>
          </cell>
        </row>
        <row r="35">
          <cell r="C35" t="str">
            <v>Kubát Petr</v>
          </cell>
          <cell r="F35" t="str">
            <v>Himal Tomáš</v>
          </cell>
          <cell r="P35">
            <v>64</v>
          </cell>
          <cell r="Q35" t="str">
            <v>Kubát Petr</v>
          </cell>
          <cell r="S35" t="str">
            <v>3:2 (7,9,-10,-9,9)</v>
          </cell>
        </row>
        <row r="36">
          <cell r="C36" t="str">
            <v>Daníček Adam</v>
          </cell>
          <cell r="F36" t="str">
            <v>Nedbálek Michal</v>
          </cell>
          <cell r="P36">
            <v>63</v>
          </cell>
          <cell r="Q36" t="str">
            <v>Nedbálek Michal</v>
          </cell>
          <cell r="S36" t="str">
            <v>3:0 (5,6,9)</v>
          </cell>
        </row>
        <row r="37">
          <cell r="C37" t="str">
            <v>bye</v>
          </cell>
          <cell r="F37" t="str">
            <v>Černota Filip</v>
          </cell>
          <cell r="P37" t="str">
            <v/>
          </cell>
          <cell r="Q37" t="str">
            <v/>
          </cell>
          <cell r="S37" t="str">
            <v/>
          </cell>
        </row>
        <row r="38">
          <cell r="C38" t="str">
            <v>Vitásek Adam</v>
          </cell>
          <cell r="F38" t="str">
            <v>bye</v>
          </cell>
          <cell r="P38" t="str">
            <v/>
          </cell>
          <cell r="Q38" t="str">
            <v/>
          </cell>
          <cell r="S38" t="str">
            <v/>
          </cell>
        </row>
        <row r="39">
          <cell r="C39" t="str">
            <v>Mynář Vojtěch</v>
          </cell>
          <cell r="F39" t="str">
            <v>Harenčák Jakub</v>
          </cell>
          <cell r="P39">
            <v>83</v>
          </cell>
          <cell r="Q39" t="str">
            <v>Mynář Vojtěch</v>
          </cell>
          <cell r="S39" t="str">
            <v>3:2 (-10,-10,7,8,5)</v>
          </cell>
        </row>
        <row r="40">
          <cell r="C40" t="str">
            <v>Macurák Michal</v>
          </cell>
          <cell r="F40" t="str">
            <v>Pařízek Martin</v>
          </cell>
          <cell r="P40">
            <v>77</v>
          </cell>
          <cell r="Q40" t="str">
            <v>Pařízek Martin</v>
          </cell>
          <cell r="S40" t="str">
            <v>3:1 (5,-9,9,13)</v>
          </cell>
        </row>
        <row r="41">
          <cell r="C41" t="str">
            <v>bye</v>
          </cell>
          <cell r="F41" t="str">
            <v>Kotek Dominik</v>
          </cell>
          <cell r="P41" t="str">
            <v/>
          </cell>
          <cell r="Q41" t="str">
            <v/>
          </cell>
          <cell r="S41" t="str">
            <v/>
          </cell>
        </row>
        <row r="42">
          <cell r="C42" t="str">
            <v>Čamr František</v>
          </cell>
          <cell r="F42" t="str">
            <v>bye</v>
          </cell>
          <cell r="P42" t="str">
            <v/>
          </cell>
          <cell r="Q42" t="str">
            <v/>
          </cell>
          <cell r="S42" t="str">
            <v/>
          </cell>
        </row>
        <row r="43">
          <cell r="C43" t="str">
            <v>Kulveit Jonáš</v>
          </cell>
          <cell r="F43" t="str">
            <v>Nečas František</v>
          </cell>
          <cell r="P43">
            <v>194</v>
          </cell>
          <cell r="Q43" t="str">
            <v>Nečas František</v>
          </cell>
          <cell r="S43" t="str">
            <v>3:0 (7,7,4)</v>
          </cell>
        </row>
        <row r="44">
          <cell r="C44" t="str">
            <v>Vybíral Jakub</v>
          </cell>
          <cell r="F44" t="str">
            <v>Cvrkal Rudolf</v>
          </cell>
          <cell r="P44">
            <v>86</v>
          </cell>
          <cell r="Q44" t="str">
            <v>Vybíral Jakub</v>
          </cell>
          <cell r="S44" t="str">
            <v>3:0 (6,6,6)</v>
          </cell>
        </row>
        <row r="45">
          <cell r="C45" t="str">
            <v>bye</v>
          </cell>
          <cell r="F45" t="str">
            <v>Šefr Filip</v>
          </cell>
          <cell r="P45" t="str">
            <v/>
          </cell>
          <cell r="Q45" t="str">
            <v/>
          </cell>
          <cell r="S45" t="str">
            <v/>
          </cell>
        </row>
        <row r="46">
          <cell r="C46" t="str">
            <v>Skála Radek</v>
          </cell>
          <cell r="F46" t="str">
            <v>bye</v>
          </cell>
          <cell r="P46" t="str">
            <v/>
          </cell>
          <cell r="Q46" t="str">
            <v/>
          </cell>
          <cell r="S46" t="str">
            <v/>
          </cell>
        </row>
        <row r="47">
          <cell r="C47" t="str">
            <v>Vladyka Jakub</v>
          </cell>
          <cell r="F47" t="str">
            <v>Soukup Adam</v>
          </cell>
          <cell r="P47">
            <v>97</v>
          </cell>
          <cell r="Q47" t="str">
            <v>Soukup Adam</v>
          </cell>
          <cell r="S47" t="str">
            <v>3:2 (-9,1,-8,3,5)</v>
          </cell>
        </row>
        <row r="48">
          <cell r="C48" t="str">
            <v>Jirka Lukáš</v>
          </cell>
          <cell r="F48" t="str">
            <v>Šejvl Jakub</v>
          </cell>
          <cell r="P48">
            <v>76</v>
          </cell>
          <cell r="Q48" t="str">
            <v>Šejvl Jakub</v>
          </cell>
          <cell r="S48" t="str">
            <v>3:0 (1,8,3)</v>
          </cell>
        </row>
        <row r="49">
          <cell r="C49" t="str">
            <v>bye</v>
          </cell>
          <cell r="F49" t="str">
            <v>Plachta Jakub</v>
          </cell>
          <cell r="P49" t="str">
            <v/>
          </cell>
          <cell r="Q49" t="str">
            <v/>
          </cell>
          <cell r="S49" t="str">
            <v/>
          </cell>
        </row>
        <row r="50">
          <cell r="C50" t="str">
            <v>Bárta Daniel</v>
          </cell>
          <cell r="F50" t="str">
            <v>bye</v>
          </cell>
          <cell r="P50" t="str">
            <v/>
          </cell>
          <cell r="Q50" t="str">
            <v/>
          </cell>
          <cell r="S50" t="str">
            <v/>
          </cell>
        </row>
        <row r="51">
          <cell r="C51" t="str">
            <v>Demek Matyáš</v>
          </cell>
          <cell r="F51" t="str">
            <v>Nguyen Tuan Anh</v>
          </cell>
          <cell r="P51">
            <v>140</v>
          </cell>
          <cell r="Q51" t="str">
            <v>Nguyen Tuan Anh</v>
          </cell>
          <cell r="S51" t="str">
            <v>wo</v>
          </cell>
        </row>
        <row r="52">
          <cell r="C52" t="str">
            <v>Přída Kryštof</v>
          </cell>
          <cell r="F52" t="str">
            <v>Ondrovčák Radek</v>
          </cell>
          <cell r="P52">
            <v>70</v>
          </cell>
          <cell r="Q52" t="str">
            <v>Ondrovčák Radek</v>
          </cell>
          <cell r="S52" t="str">
            <v>3:0 (5,4,8)</v>
          </cell>
        </row>
        <row r="53">
          <cell r="C53" t="str">
            <v>bye</v>
          </cell>
          <cell r="F53" t="str">
            <v>Škarban Jan</v>
          </cell>
          <cell r="P53" t="str">
            <v/>
          </cell>
          <cell r="Q53" t="str">
            <v/>
          </cell>
          <cell r="S53" t="str">
            <v/>
          </cell>
        </row>
        <row r="54">
          <cell r="C54" t="str">
            <v>Olejník Petr</v>
          </cell>
          <cell r="F54" t="str">
            <v>bye</v>
          </cell>
          <cell r="P54" t="str">
            <v/>
          </cell>
          <cell r="Q54" t="str">
            <v/>
          </cell>
          <cell r="S54" t="str">
            <v/>
          </cell>
        </row>
        <row r="55">
          <cell r="C55" t="str">
            <v>Bohdanecký Jakub</v>
          </cell>
          <cell r="F55" t="str">
            <v>Pechman Petr</v>
          </cell>
          <cell r="P55">
            <v>184</v>
          </cell>
          <cell r="Q55" t="str">
            <v>Bohdanecký Jakub</v>
          </cell>
          <cell r="S55" t="str">
            <v>wo</v>
          </cell>
        </row>
        <row r="56">
          <cell r="C56" t="str">
            <v>Herec Lukáš</v>
          </cell>
          <cell r="F56" t="str">
            <v>Dvořák Vítek</v>
          </cell>
          <cell r="P56">
            <v>195</v>
          </cell>
          <cell r="Q56" t="str">
            <v>Dvořák Vítek</v>
          </cell>
          <cell r="S56" t="str">
            <v>3:1 (8,-9,3,4)</v>
          </cell>
        </row>
        <row r="57">
          <cell r="C57" t="str">
            <v>bye</v>
          </cell>
          <cell r="F57" t="str">
            <v>Fausek Matěj</v>
          </cell>
          <cell r="P57" t="str">
            <v/>
          </cell>
          <cell r="Q57" t="str">
            <v/>
          </cell>
          <cell r="S57" t="str">
            <v/>
          </cell>
        </row>
        <row r="58">
          <cell r="C58" t="str">
            <v>Stránský Matěj</v>
          </cell>
          <cell r="F58" t="str">
            <v>bye</v>
          </cell>
          <cell r="P58" t="str">
            <v/>
          </cell>
          <cell r="Q58" t="str">
            <v/>
          </cell>
          <cell r="S58" t="str">
            <v/>
          </cell>
        </row>
        <row r="59">
          <cell r="C59" t="str">
            <v>Bako Adam</v>
          </cell>
          <cell r="F59" t="str">
            <v>Kučera Ondřej</v>
          </cell>
          <cell r="P59">
            <v>87</v>
          </cell>
          <cell r="Q59" t="str">
            <v>Bako Adam</v>
          </cell>
          <cell r="S59" t="str">
            <v>wo</v>
          </cell>
        </row>
        <row r="60">
          <cell r="C60" t="str">
            <v>Zukal Adam</v>
          </cell>
          <cell r="F60" t="str">
            <v>Ondráček Jan</v>
          </cell>
          <cell r="P60">
            <v>65</v>
          </cell>
          <cell r="Q60" t="str">
            <v>Zukal Adam</v>
          </cell>
          <cell r="S60" t="str">
            <v>3:0 (6,4,9)</v>
          </cell>
        </row>
        <row r="61">
          <cell r="C61" t="str">
            <v>bye</v>
          </cell>
          <cell r="F61" t="str">
            <v>Březovský Petr</v>
          </cell>
          <cell r="P61" t="str">
            <v/>
          </cell>
          <cell r="Q61" t="str">
            <v/>
          </cell>
          <cell r="S61" t="str">
            <v/>
          </cell>
        </row>
        <row r="62">
          <cell r="C62" t="str">
            <v>Oharek David</v>
          </cell>
          <cell r="F62" t="str">
            <v>bye</v>
          </cell>
          <cell r="P62" t="str">
            <v/>
          </cell>
          <cell r="Q62" t="str">
            <v/>
          </cell>
          <cell r="S62" t="str">
            <v/>
          </cell>
        </row>
        <row r="63">
          <cell r="C63" t="str">
            <v>Vaněk Petr</v>
          </cell>
          <cell r="F63" t="str">
            <v>Jakubský Filip</v>
          </cell>
          <cell r="P63">
            <v>108</v>
          </cell>
          <cell r="Q63" t="str">
            <v>Jakubský Filip</v>
          </cell>
          <cell r="S63" t="str">
            <v>3:0 (5,9,2)</v>
          </cell>
        </row>
        <row r="64">
          <cell r="C64" t="str">
            <v>Bruckner Tomáš</v>
          </cell>
          <cell r="F64" t="str">
            <v>Novotný Petr</v>
          </cell>
          <cell r="P64">
            <v>89</v>
          </cell>
          <cell r="Q64" t="str">
            <v>Novotný Petr</v>
          </cell>
          <cell r="S64" t="str">
            <v>3:1 (4,-3,5,7)</v>
          </cell>
        </row>
        <row r="65">
          <cell r="C65" t="str">
            <v>bye</v>
          </cell>
          <cell r="F65" t="str">
            <v>Hromek Filip</v>
          </cell>
          <cell r="P65" t="str">
            <v/>
          </cell>
          <cell r="Q65" t="str">
            <v/>
          </cell>
          <cell r="S65" t="str">
            <v/>
          </cell>
        </row>
        <row r="71">
          <cell r="P71">
            <v>38</v>
          </cell>
          <cell r="Q71" t="str">
            <v>Pašek Dominik</v>
          </cell>
          <cell r="S71" t="str">
            <v>3:0 (5,8,6)</v>
          </cell>
        </row>
        <row r="72">
          <cell r="P72">
            <v>41</v>
          </cell>
          <cell r="Q72" t="str">
            <v>Bako Radim</v>
          </cell>
          <cell r="S72" t="str">
            <v>3:0 (10,9,5)</v>
          </cell>
        </row>
        <row r="73">
          <cell r="P73">
            <v>42</v>
          </cell>
          <cell r="Q73" t="str">
            <v>Vévoda Ondřej</v>
          </cell>
          <cell r="S73" t="str">
            <v>3:2 (-10,7,-10,2,6)</v>
          </cell>
        </row>
        <row r="74">
          <cell r="P74">
            <v>27</v>
          </cell>
          <cell r="Q74" t="str">
            <v>Skalský Ondřej</v>
          </cell>
          <cell r="S74" t="str">
            <v>3:0 (7,12,9)</v>
          </cell>
        </row>
        <row r="75">
          <cell r="P75">
            <v>26</v>
          </cell>
          <cell r="Q75" t="str">
            <v>Martinko Tomáš</v>
          </cell>
          <cell r="S75" t="str">
            <v>3:0 (9,5,5)</v>
          </cell>
        </row>
        <row r="76">
          <cell r="P76">
            <v>62</v>
          </cell>
          <cell r="Q76" t="str">
            <v>Dvořák Petr</v>
          </cell>
          <cell r="S76" t="str">
            <v>3:1 (9,-3,8,5)</v>
          </cell>
        </row>
        <row r="77">
          <cell r="P77">
            <v>44</v>
          </cell>
          <cell r="Q77" t="str">
            <v>Vybíral Filip</v>
          </cell>
          <cell r="S77" t="str">
            <v>3:1 (9,-3,10,5)</v>
          </cell>
        </row>
        <row r="78">
          <cell r="P78">
            <v>30</v>
          </cell>
          <cell r="Q78" t="str">
            <v>Vlach Martin</v>
          </cell>
          <cell r="S78" t="str">
            <v>3:0 (8,6,13)</v>
          </cell>
        </row>
        <row r="79">
          <cell r="P79">
            <v>36</v>
          </cell>
          <cell r="Q79" t="str">
            <v>Kortus Filip</v>
          </cell>
          <cell r="S79" t="str">
            <v>3:0 (7,8,6)</v>
          </cell>
        </row>
        <row r="80">
          <cell r="P80">
            <v>94</v>
          </cell>
          <cell r="Q80" t="str">
            <v>Podrazil David</v>
          </cell>
          <cell r="S80" t="str">
            <v>3:0 (9,7,6)</v>
          </cell>
        </row>
        <row r="81">
          <cell r="P81">
            <v>46</v>
          </cell>
          <cell r="Q81" t="str">
            <v>Hýbl Jan</v>
          </cell>
          <cell r="S81" t="str">
            <v>3:1 (8,7,-8,10)</v>
          </cell>
        </row>
        <row r="82">
          <cell r="P82">
            <v>25</v>
          </cell>
          <cell r="Q82" t="str">
            <v>Krejcar Vilém</v>
          </cell>
          <cell r="S82" t="str">
            <v>3:1 (3,4,-8,4)</v>
          </cell>
        </row>
        <row r="83">
          <cell r="P83">
            <v>24</v>
          </cell>
          <cell r="Q83" t="str">
            <v>Koubek Vojtěch</v>
          </cell>
          <cell r="S83" t="str">
            <v>3:2 (-9,6,-8,4,7)</v>
          </cell>
        </row>
        <row r="84">
          <cell r="P84">
            <v>40</v>
          </cell>
          <cell r="Q84" t="str">
            <v>Černota Filip</v>
          </cell>
          <cell r="S84" t="str">
            <v>3:1 (8,2,-9,4)</v>
          </cell>
        </row>
        <row r="85">
          <cell r="P85">
            <v>49</v>
          </cell>
          <cell r="Q85" t="str">
            <v>Vitásek Adam</v>
          </cell>
          <cell r="S85" t="str">
            <v>3:2 (-9,7,-11,6,8)</v>
          </cell>
        </row>
        <row r="86">
          <cell r="P86">
            <v>31</v>
          </cell>
          <cell r="Q86" t="str">
            <v>Kotek Dominik</v>
          </cell>
          <cell r="S86" t="str">
            <v>3:1 (2,-5,9,10)</v>
          </cell>
        </row>
        <row r="87">
          <cell r="P87">
            <v>32</v>
          </cell>
          <cell r="Q87" t="str">
            <v>Čamr František</v>
          </cell>
          <cell r="S87" t="str">
            <v>3:1 (-7,9,3,10)</v>
          </cell>
        </row>
        <row r="88">
          <cell r="P88">
            <v>57</v>
          </cell>
          <cell r="Q88" t="str">
            <v>Šefr Filip</v>
          </cell>
          <cell r="S88" t="str">
            <v>3:0 (9,4,6)</v>
          </cell>
        </row>
        <row r="89">
          <cell r="P89">
            <v>53</v>
          </cell>
          <cell r="Q89" t="str">
            <v>Skála Radek</v>
          </cell>
          <cell r="S89" t="str">
            <v>3:0 (4,6,7)</v>
          </cell>
        </row>
        <row r="90">
          <cell r="P90">
            <v>28</v>
          </cell>
          <cell r="Q90" t="str">
            <v>Plachta Jakub</v>
          </cell>
          <cell r="S90" t="str">
            <v>3:1 (2,-4,7,9)</v>
          </cell>
        </row>
        <row r="91">
          <cell r="P91">
            <v>29</v>
          </cell>
          <cell r="Q91" t="str">
            <v>Bárta Daniel</v>
          </cell>
          <cell r="S91" t="str">
            <v>3:0 (3,4,5)</v>
          </cell>
        </row>
        <row r="92">
          <cell r="P92">
            <v>48</v>
          </cell>
          <cell r="Q92" t="str">
            <v>Škarban Jan</v>
          </cell>
          <cell r="S92" t="str">
            <v>3:2 (8,-8,-7,2,3)</v>
          </cell>
        </row>
        <row r="93">
          <cell r="P93">
            <v>50</v>
          </cell>
          <cell r="Q93" t="str">
            <v>Olejník Petr</v>
          </cell>
          <cell r="S93" t="str">
            <v>3:0 (9,3,11)</v>
          </cell>
        </row>
        <row r="94">
          <cell r="P94">
            <v>37</v>
          </cell>
          <cell r="Q94" t="str">
            <v>Fausek Matěj</v>
          </cell>
          <cell r="S94" t="str">
            <v>3:1 (7,-8,8,3)</v>
          </cell>
        </row>
        <row r="95">
          <cell r="P95">
            <v>33</v>
          </cell>
          <cell r="Q95" t="str">
            <v>Stránský Matěj</v>
          </cell>
          <cell r="S95" t="str">
            <v>3:2 (7,-9,10,-9,6)</v>
          </cell>
        </row>
        <row r="96">
          <cell r="P96">
            <v>65</v>
          </cell>
          <cell r="Q96" t="str">
            <v>Zukal Adam</v>
          </cell>
          <cell r="S96" t="str">
            <v>3:2 (-1,-6,10,9,8)</v>
          </cell>
        </row>
        <row r="97">
          <cell r="P97">
            <v>108</v>
          </cell>
          <cell r="Q97" t="str">
            <v>Jakubský Filip</v>
          </cell>
          <cell r="S97" t="str">
            <v>3:2 (-7,-6,7,7,3)</v>
          </cell>
        </row>
        <row r="98">
          <cell r="P98">
            <v>23</v>
          </cell>
          <cell r="Q98" t="str">
            <v>Hromek Filip</v>
          </cell>
          <cell r="S98" t="str">
            <v>3:0 (6,7,10)</v>
          </cell>
        </row>
        <row r="102">
          <cell r="P102">
            <v>41</v>
          </cell>
          <cell r="Q102" t="str">
            <v>Bako Radim</v>
          </cell>
          <cell r="S102" t="str">
            <v>3:0 (6,13,4)</v>
          </cell>
        </row>
        <row r="103">
          <cell r="P103">
            <v>42</v>
          </cell>
          <cell r="Q103" t="str">
            <v>Vévoda Ondřej</v>
          </cell>
          <cell r="S103" t="str">
            <v>3:2 (5,4,-7,-14,9)</v>
          </cell>
        </row>
        <row r="104">
          <cell r="P104">
            <v>26</v>
          </cell>
          <cell r="Q104" t="str">
            <v>Martinko Tomáš</v>
          </cell>
          <cell r="S104" t="str">
            <v>3:0 (7,8,7)</v>
          </cell>
        </row>
        <row r="105">
          <cell r="P105">
            <v>30</v>
          </cell>
          <cell r="Q105" t="str">
            <v>Vlach Martin</v>
          </cell>
          <cell r="S105" t="str">
            <v>3:2 (-11,8,-4,9,10)</v>
          </cell>
        </row>
        <row r="106">
          <cell r="P106">
            <v>36</v>
          </cell>
          <cell r="Q106" t="str">
            <v>Kortus Filip</v>
          </cell>
          <cell r="S106" t="str">
            <v>3:0 (6,7,6)</v>
          </cell>
        </row>
        <row r="107">
          <cell r="P107">
            <v>25</v>
          </cell>
          <cell r="Q107" t="str">
            <v>Krejcar Vilém</v>
          </cell>
          <cell r="S107" t="str">
            <v>3:1 (6,10,-10,9)</v>
          </cell>
        </row>
        <row r="108">
          <cell r="P108">
            <v>40</v>
          </cell>
          <cell r="Q108" t="str">
            <v>Černota Filip</v>
          </cell>
          <cell r="S108" t="str">
            <v>3:2 (10,-6,-13,8,6)</v>
          </cell>
        </row>
        <row r="109">
          <cell r="P109">
            <v>31</v>
          </cell>
          <cell r="Q109" t="str">
            <v>Kotek Dominik</v>
          </cell>
          <cell r="S109" t="str">
            <v>3:1 (7,9,-8,5)</v>
          </cell>
        </row>
        <row r="110">
          <cell r="P110">
            <v>32</v>
          </cell>
          <cell r="Q110" t="str">
            <v>Čamr František</v>
          </cell>
          <cell r="S110" t="str">
            <v>3:0 (8,7,8)</v>
          </cell>
        </row>
        <row r="111">
          <cell r="P111">
            <v>53</v>
          </cell>
          <cell r="Q111" t="str">
            <v>Skála Radek</v>
          </cell>
          <cell r="S111" t="str">
            <v>3:1 (8,9,-3,7)</v>
          </cell>
        </row>
        <row r="112">
          <cell r="P112">
            <v>29</v>
          </cell>
          <cell r="Q112" t="str">
            <v>Bárta Daniel</v>
          </cell>
          <cell r="S112" t="str">
            <v>3:0 (9,9,4)</v>
          </cell>
        </row>
        <row r="113">
          <cell r="P113">
            <v>37</v>
          </cell>
          <cell r="Q113" t="str">
            <v>Fausek Matěj</v>
          </cell>
          <cell r="S113" t="str">
            <v>3:0 (6,8,12)</v>
          </cell>
        </row>
        <row r="114">
          <cell r="P114">
            <v>33</v>
          </cell>
          <cell r="Q114" t="str">
            <v>Stránský Matěj</v>
          </cell>
          <cell r="S114" t="str">
            <v>3:1 (6,9,-6,9)</v>
          </cell>
        </row>
        <row r="115">
          <cell r="P115">
            <v>23</v>
          </cell>
          <cell r="Q115" t="str">
            <v>Hromek Filip</v>
          </cell>
          <cell r="S115" t="str">
            <v>3:0 (11,8,10)</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A1:H293"/>
  <sheetViews>
    <sheetView showGridLines="0" view="pageBreakPreview" zoomScaleSheetLayoutView="100" zoomScalePageLayoutView="0" workbookViewId="0" topLeftCell="A1">
      <pane ySplit="4" topLeftCell="A5" activePane="bottomLeft" state="frozen"/>
      <selection pane="topLeft" activeCell="E26" sqref="E26"/>
      <selection pane="bottomLeft" activeCell="H15" sqref="H15"/>
    </sheetView>
  </sheetViews>
  <sheetFormatPr defaultColWidth="9.00390625" defaultRowHeight="12.75"/>
  <cols>
    <col min="1" max="1" width="5.25390625" style="18" customWidth="1"/>
    <col min="2" max="2" width="23.00390625" style="1" customWidth="1"/>
    <col min="3" max="3" width="29.125" style="1" customWidth="1"/>
    <col min="4" max="4" width="13.375" style="19"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85" t="s">
        <v>73</v>
      </c>
      <c r="B1" s="185"/>
      <c r="C1" s="185"/>
      <c r="D1" s="185"/>
      <c r="E1" s="185"/>
      <c r="F1" s="185"/>
      <c r="H1" s="2"/>
    </row>
    <row r="2" spans="1:6" ht="36.75" customHeight="1">
      <c r="A2" s="3"/>
      <c r="B2" s="186" t="s">
        <v>0</v>
      </c>
      <c r="C2" s="186"/>
      <c r="D2" s="186"/>
      <c r="E2" s="3"/>
      <c r="F2" s="3"/>
    </row>
    <row r="3" spans="1:6" ht="30.75" customHeight="1" thickBot="1">
      <c r="A3" s="4"/>
      <c r="B3" s="187" t="s">
        <v>472</v>
      </c>
      <c r="C3" s="187"/>
      <c r="D3" s="187"/>
      <c r="E3" s="4"/>
      <c r="F3" s="4"/>
    </row>
    <row r="4" spans="1:6" ht="17.25" customHeight="1" thickBot="1">
      <c r="A4" s="5" t="s">
        <v>1</v>
      </c>
      <c r="B4" s="6" t="s">
        <v>2</v>
      </c>
      <c r="C4" s="6" t="s">
        <v>3</v>
      </c>
      <c r="D4" s="7" t="s">
        <v>4</v>
      </c>
      <c r="E4" s="8" t="s">
        <v>5</v>
      </c>
      <c r="F4" s="9"/>
    </row>
    <row r="5" spans="1:5" ht="15">
      <c r="A5" s="10">
        <v>2</v>
      </c>
      <c r="B5" s="10" t="s">
        <v>471</v>
      </c>
      <c r="C5" s="10" t="s">
        <v>246</v>
      </c>
      <c r="D5" s="11">
        <v>1998</v>
      </c>
      <c r="E5" s="11">
        <v>2</v>
      </c>
    </row>
    <row r="6" spans="1:6" s="14" customFormat="1" ht="15" customHeight="1">
      <c r="A6" s="10">
        <v>5</v>
      </c>
      <c r="B6" s="10" t="s">
        <v>470</v>
      </c>
      <c r="C6" s="10" t="s">
        <v>220</v>
      </c>
      <c r="D6" s="11">
        <v>1999</v>
      </c>
      <c r="E6" s="11">
        <v>5</v>
      </c>
      <c r="F6" s="1"/>
    </row>
    <row r="7" spans="1:5" ht="15.75" customHeight="1">
      <c r="A7" s="10">
        <v>6</v>
      </c>
      <c r="B7" s="10" t="s">
        <v>469</v>
      </c>
      <c r="C7" s="10" t="s">
        <v>289</v>
      </c>
      <c r="D7" s="11">
        <v>1999</v>
      </c>
      <c r="E7" s="11">
        <v>6</v>
      </c>
    </row>
    <row r="8" spans="1:5" ht="15">
      <c r="A8" s="10">
        <v>7</v>
      </c>
      <c r="B8" s="10" t="s">
        <v>468</v>
      </c>
      <c r="C8" s="10" t="s">
        <v>246</v>
      </c>
      <c r="D8" s="11">
        <v>1999</v>
      </c>
      <c r="E8" s="11">
        <v>7</v>
      </c>
    </row>
    <row r="9" spans="1:5" ht="18" customHeight="1">
      <c r="A9" s="10">
        <v>8</v>
      </c>
      <c r="B9" s="10" t="s">
        <v>467</v>
      </c>
      <c r="C9" s="10" t="s">
        <v>356</v>
      </c>
      <c r="D9" s="11">
        <v>1998</v>
      </c>
      <c r="E9" s="11">
        <v>8</v>
      </c>
    </row>
    <row r="10" spans="1:5" ht="15">
      <c r="A10" s="10">
        <v>9</v>
      </c>
      <c r="B10" s="10" t="s">
        <v>466</v>
      </c>
      <c r="C10" s="10" t="s">
        <v>461</v>
      </c>
      <c r="D10" s="11">
        <v>1998</v>
      </c>
      <c r="E10" s="11">
        <v>9</v>
      </c>
    </row>
    <row r="11" spans="1:5" ht="15">
      <c r="A11" s="10">
        <v>10</v>
      </c>
      <c r="B11" s="10" t="s">
        <v>465</v>
      </c>
      <c r="C11" s="10" t="s">
        <v>216</v>
      </c>
      <c r="D11" s="11">
        <v>1999</v>
      </c>
      <c r="E11" s="11">
        <v>10</v>
      </c>
    </row>
    <row r="12" spans="1:5" ht="15">
      <c r="A12" s="10">
        <v>11</v>
      </c>
      <c r="B12" s="10" t="s">
        <v>464</v>
      </c>
      <c r="C12" s="10" t="s">
        <v>300</v>
      </c>
      <c r="D12" s="11">
        <v>2000</v>
      </c>
      <c r="E12" s="11">
        <v>11</v>
      </c>
    </row>
    <row r="13" spans="1:5" ht="15">
      <c r="A13" s="10">
        <v>12</v>
      </c>
      <c r="B13" s="10" t="s">
        <v>463</v>
      </c>
      <c r="C13" s="10" t="s">
        <v>440</v>
      </c>
      <c r="D13" s="11">
        <v>1998</v>
      </c>
      <c r="E13" s="11">
        <v>12</v>
      </c>
    </row>
    <row r="14" spans="1:5" ht="15">
      <c r="A14" s="10">
        <v>13</v>
      </c>
      <c r="B14" s="10" t="s">
        <v>462</v>
      </c>
      <c r="C14" s="10" t="s">
        <v>461</v>
      </c>
      <c r="D14" s="11">
        <v>1998</v>
      </c>
      <c r="E14" s="11">
        <v>13.5</v>
      </c>
    </row>
    <row r="15" spans="1:5" ht="15">
      <c r="A15" s="10">
        <v>15</v>
      </c>
      <c r="B15" s="10" t="s">
        <v>460</v>
      </c>
      <c r="C15" s="10" t="s">
        <v>289</v>
      </c>
      <c r="D15" s="11">
        <v>2002</v>
      </c>
      <c r="E15" s="11">
        <v>15</v>
      </c>
    </row>
    <row r="16" spans="1:5" ht="15">
      <c r="A16" s="10">
        <v>16</v>
      </c>
      <c r="B16" s="10" t="s">
        <v>459</v>
      </c>
      <c r="C16" s="10" t="s">
        <v>216</v>
      </c>
      <c r="D16" s="11">
        <v>2000</v>
      </c>
      <c r="E16" s="11">
        <v>16</v>
      </c>
    </row>
    <row r="17" spans="1:5" ht="15">
      <c r="A17" s="10">
        <v>17</v>
      </c>
      <c r="B17" s="10" t="s">
        <v>458</v>
      </c>
      <c r="C17" s="10" t="s">
        <v>433</v>
      </c>
      <c r="D17" s="11">
        <v>1998</v>
      </c>
      <c r="E17" s="11">
        <v>17</v>
      </c>
    </row>
    <row r="18" spans="1:5" ht="15">
      <c r="A18" s="10">
        <v>19</v>
      </c>
      <c r="B18" s="10" t="s">
        <v>457</v>
      </c>
      <c r="C18" s="10" t="s">
        <v>356</v>
      </c>
      <c r="D18" s="11">
        <v>1999</v>
      </c>
      <c r="E18" s="11">
        <v>19</v>
      </c>
    </row>
    <row r="19" spans="1:5" ht="15">
      <c r="A19" s="10">
        <v>20</v>
      </c>
      <c r="B19" s="10" t="s">
        <v>456</v>
      </c>
      <c r="C19" s="10" t="s">
        <v>300</v>
      </c>
      <c r="D19" s="11">
        <v>1999</v>
      </c>
      <c r="E19" s="11">
        <v>20.5</v>
      </c>
    </row>
    <row r="20" spans="1:5" ht="15">
      <c r="A20" s="10">
        <v>21</v>
      </c>
      <c r="B20" s="10" t="s">
        <v>455</v>
      </c>
      <c r="C20" s="10" t="s">
        <v>248</v>
      </c>
      <c r="D20" s="11">
        <v>2000</v>
      </c>
      <c r="E20" s="11">
        <v>20.5</v>
      </c>
    </row>
    <row r="21" spans="1:5" ht="15">
      <c r="A21" s="10">
        <v>22</v>
      </c>
      <c r="B21" s="10" t="s">
        <v>454</v>
      </c>
      <c r="C21" s="10" t="s">
        <v>246</v>
      </c>
      <c r="D21" s="11">
        <v>1999</v>
      </c>
      <c r="E21" s="11">
        <v>22</v>
      </c>
    </row>
    <row r="22" spans="1:5" ht="15">
      <c r="A22" s="10">
        <v>23</v>
      </c>
      <c r="B22" s="10" t="s">
        <v>453</v>
      </c>
      <c r="C22" s="10" t="s">
        <v>248</v>
      </c>
      <c r="D22" s="11">
        <v>2001</v>
      </c>
      <c r="E22" s="11">
        <v>23</v>
      </c>
    </row>
    <row r="23" spans="1:5" ht="15">
      <c r="A23" s="10">
        <v>24</v>
      </c>
      <c r="B23" s="10" t="s">
        <v>452</v>
      </c>
      <c r="C23" s="10" t="s">
        <v>220</v>
      </c>
      <c r="D23" s="11">
        <v>2000</v>
      </c>
      <c r="E23" s="11">
        <v>23</v>
      </c>
    </row>
    <row r="24" spans="1:5" ht="15">
      <c r="A24" s="10">
        <v>25</v>
      </c>
      <c r="B24" s="10" t="s">
        <v>451</v>
      </c>
      <c r="C24" s="10" t="s">
        <v>356</v>
      </c>
      <c r="D24" s="11">
        <v>1998</v>
      </c>
      <c r="E24" s="11">
        <v>25</v>
      </c>
    </row>
    <row r="25" spans="1:5" ht="15">
      <c r="A25" s="10">
        <v>26</v>
      </c>
      <c r="B25" s="10" t="s">
        <v>450</v>
      </c>
      <c r="C25" s="10" t="s">
        <v>289</v>
      </c>
      <c r="D25" s="11">
        <v>2002</v>
      </c>
      <c r="E25" s="11">
        <v>26</v>
      </c>
    </row>
    <row r="26" spans="1:5" ht="15">
      <c r="A26" s="10">
        <v>27</v>
      </c>
      <c r="B26" s="10" t="s">
        <v>449</v>
      </c>
      <c r="C26" s="10" t="s">
        <v>304</v>
      </c>
      <c r="D26" s="11">
        <v>1999</v>
      </c>
      <c r="E26" s="11">
        <v>27</v>
      </c>
    </row>
    <row r="27" spans="1:5" ht="15">
      <c r="A27" s="10">
        <v>28</v>
      </c>
      <c r="B27" s="10" t="s">
        <v>448</v>
      </c>
      <c r="C27" s="10" t="s">
        <v>289</v>
      </c>
      <c r="D27" s="11">
        <v>2000</v>
      </c>
      <c r="E27" s="11">
        <v>28</v>
      </c>
    </row>
    <row r="28" spans="1:5" ht="15">
      <c r="A28" s="10">
        <v>29</v>
      </c>
      <c r="B28" s="10" t="s">
        <v>447</v>
      </c>
      <c r="C28" s="10" t="s">
        <v>446</v>
      </c>
      <c r="D28" s="11">
        <v>1999</v>
      </c>
      <c r="E28" s="11">
        <v>29</v>
      </c>
    </row>
    <row r="29" spans="1:5" ht="15">
      <c r="A29" s="10">
        <v>30</v>
      </c>
      <c r="B29" s="10" t="s">
        <v>445</v>
      </c>
      <c r="C29" s="10" t="s">
        <v>304</v>
      </c>
      <c r="D29" s="11">
        <v>1998</v>
      </c>
      <c r="E29" s="11">
        <v>30</v>
      </c>
    </row>
    <row r="30" spans="1:5" ht="15">
      <c r="A30" s="10">
        <v>31</v>
      </c>
      <c r="B30" s="10" t="s">
        <v>444</v>
      </c>
      <c r="C30" s="10" t="s">
        <v>249</v>
      </c>
      <c r="D30" s="11">
        <v>1999</v>
      </c>
      <c r="E30" s="11">
        <v>31</v>
      </c>
    </row>
    <row r="31" spans="1:5" ht="15">
      <c r="A31" s="10">
        <v>32</v>
      </c>
      <c r="B31" s="10" t="s">
        <v>443</v>
      </c>
      <c r="C31" s="10" t="s">
        <v>442</v>
      </c>
      <c r="D31" s="11">
        <v>2000</v>
      </c>
      <c r="E31" s="11">
        <v>32</v>
      </c>
    </row>
    <row r="32" spans="1:5" ht="15">
      <c r="A32" s="10">
        <v>33</v>
      </c>
      <c r="B32" s="10" t="s">
        <v>441</v>
      </c>
      <c r="C32" s="10" t="s">
        <v>440</v>
      </c>
      <c r="D32" s="11">
        <v>1998</v>
      </c>
      <c r="E32" s="11">
        <v>33</v>
      </c>
    </row>
    <row r="33" spans="1:5" ht="15">
      <c r="A33" s="10">
        <v>35</v>
      </c>
      <c r="B33" s="10" t="s">
        <v>439</v>
      </c>
      <c r="C33" s="10" t="s">
        <v>220</v>
      </c>
      <c r="D33" s="11">
        <v>2002</v>
      </c>
      <c r="E33" s="11">
        <v>35</v>
      </c>
    </row>
    <row r="34" spans="1:6" ht="15">
      <c r="A34" s="10">
        <v>36</v>
      </c>
      <c r="B34" s="10" t="s">
        <v>438</v>
      </c>
      <c r="C34" s="10" t="s">
        <v>437</v>
      </c>
      <c r="D34" s="11">
        <v>1999</v>
      </c>
      <c r="E34" s="11">
        <v>36</v>
      </c>
      <c r="F34" s="13"/>
    </row>
    <row r="35" spans="1:6" ht="15">
      <c r="A35" s="10">
        <v>37</v>
      </c>
      <c r="B35" s="10" t="s">
        <v>436</v>
      </c>
      <c r="C35" s="10" t="s">
        <v>300</v>
      </c>
      <c r="D35" s="11">
        <v>1999</v>
      </c>
      <c r="E35" s="11">
        <v>37</v>
      </c>
      <c r="F35" s="13"/>
    </row>
    <row r="36" spans="1:6" ht="15">
      <c r="A36" s="10">
        <v>38</v>
      </c>
      <c r="B36" s="10" t="s">
        <v>435</v>
      </c>
      <c r="C36" s="10" t="s">
        <v>298</v>
      </c>
      <c r="D36" s="11">
        <v>1998</v>
      </c>
      <c r="E36" s="11">
        <v>38</v>
      </c>
      <c r="F36" s="13"/>
    </row>
    <row r="37" spans="1:6" ht="15">
      <c r="A37" s="10">
        <v>40</v>
      </c>
      <c r="B37" s="10" t="s">
        <v>434</v>
      </c>
      <c r="C37" s="10" t="s">
        <v>433</v>
      </c>
      <c r="D37" s="11">
        <v>2001</v>
      </c>
      <c r="E37" s="11">
        <v>40.5</v>
      </c>
      <c r="F37" s="13"/>
    </row>
    <row r="38" spans="1:6" ht="15">
      <c r="A38" s="10">
        <v>41</v>
      </c>
      <c r="B38" s="10" t="s">
        <v>432</v>
      </c>
      <c r="C38" s="10" t="s">
        <v>299</v>
      </c>
      <c r="D38" s="11">
        <v>2001</v>
      </c>
      <c r="E38" s="11">
        <v>40.5</v>
      </c>
      <c r="F38" s="183"/>
    </row>
    <row r="39" spans="1:5" ht="15">
      <c r="A39" s="10">
        <v>42</v>
      </c>
      <c r="B39" s="10" t="s">
        <v>431</v>
      </c>
      <c r="C39" s="10" t="s">
        <v>385</v>
      </c>
      <c r="D39" s="11">
        <v>1999</v>
      </c>
      <c r="E39" s="11">
        <v>42</v>
      </c>
    </row>
    <row r="40" spans="1:5" ht="15">
      <c r="A40" s="10">
        <v>43</v>
      </c>
      <c r="B40" s="10" t="s">
        <v>430</v>
      </c>
      <c r="C40" s="10" t="s">
        <v>216</v>
      </c>
      <c r="D40" s="11">
        <v>1999</v>
      </c>
      <c r="E40" s="11">
        <v>43</v>
      </c>
    </row>
    <row r="41" spans="1:5" ht="15">
      <c r="A41" s="10">
        <v>44</v>
      </c>
      <c r="B41" s="10" t="s">
        <v>429</v>
      </c>
      <c r="C41" s="10" t="s">
        <v>299</v>
      </c>
      <c r="D41" s="11">
        <v>2002</v>
      </c>
      <c r="E41" s="11">
        <v>44</v>
      </c>
    </row>
    <row r="42" spans="1:5" ht="15">
      <c r="A42" s="10">
        <v>46</v>
      </c>
      <c r="B42" s="10" t="s">
        <v>428</v>
      </c>
      <c r="C42" s="10" t="s">
        <v>220</v>
      </c>
      <c r="D42" s="11">
        <v>1999</v>
      </c>
      <c r="E42" s="11">
        <v>46</v>
      </c>
    </row>
    <row r="43" spans="1:6" ht="15">
      <c r="A43" s="10">
        <v>47</v>
      </c>
      <c r="B43" s="10" t="s">
        <v>427</v>
      </c>
      <c r="C43" s="10" t="s">
        <v>303</v>
      </c>
      <c r="D43" s="11">
        <v>2000</v>
      </c>
      <c r="E43" s="11">
        <v>47</v>
      </c>
      <c r="F43" s="13"/>
    </row>
    <row r="44" spans="1:6" ht="15">
      <c r="A44" s="10">
        <v>48</v>
      </c>
      <c r="B44" s="10" t="s">
        <v>426</v>
      </c>
      <c r="C44" s="10" t="s">
        <v>298</v>
      </c>
      <c r="D44" s="11">
        <v>1998</v>
      </c>
      <c r="E44" s="11">
        <v>48</v>
      </c>
      <c r="F44" s="13"/>
    </row>
    <row r="45" spans="1:5" ht="15">
      <c r="A45" s="10">
        <v>49</v>
      </c>
      <c r="B45" s="10" t="s">
        <v>425</v>
      </c>
      <c r="C45" s="10" t="s">
        <v>424</v>
      </c>
      <c r="D45" s="11">
        <v>2000</v>
      </c>
      <c r="E45" s="11">
        <v>49</v>
      </c>
    </row>
    <row r="46" spans="1:5" ht="15">
      <c r="A46" s="10">
        <v>50</v>
      </c>
      <c r="B46" s="10" t="s">
        <v>423</v>
      </c>
      <c r="C46" s="10" t="s">
        <v>304</v>
      </c>
      <c r="D46" s="11">
        <v>2001</v>
      </c>
      <c r="E46" s="11">
        <v>50</v>
      </c>
    </row>
    <row r="47" spans="1:5" ht="15">
      <c r="A47" s="10">
        <v>51</v>
      </c>
      <c r="B47" s="10" t="s">
        <v>422</v>
      </c>
      <c r="C47" s="10" t="s">
        <v>418</v>
      </c>
      <c r="D47" s="11">
        <v>2001</v>
      </c>
      <c r="E47" s="11">
        <v>51</v>
      </c>
    </row>
    <row r="48" spans="1:5" ht="15">
      <c r="A48" s="10">
        <v>53</v>
      </c>
      <c r="B48" s="10" t="s">
        <v>421</v>
      </c>
      <c r="C48" s="10" t="s">
        <v>418</v>
      </c>
      <c r="D48" s="11">
        <v>2002</v>
      </c>
      <c r="E48" s="11">
        <v>53</v>
      </c>
    </row>
    <row r="49" spans="1:5" ht="15">
      <c r="A49" s="10">
        <v>55</v>
      </c>
      <c r="B49" s="10" t="s">
        <v>420</v>
      </c>
      <c r="C49" s="10" t="s">
        <v>329</v>
      </c>
      <c r="D49" s="11">
        <v>2000</v>
      </c>
      <c r="E49" s="11">
        <v>55</v>
      </c>
    </row>
    <row r="50" spans="1:5" ht="15">
      <c r="A50" s="10">
        <v>57</v>
      </c>
      <c r="B50" s="10" t="s">
        <v>419</v>
      </c>
      <c r="C50" s="10" t="s">
        <v>418</v>
      </c>
      <c r="D50" s="11">
        <v>1999</v>
      </c>
      <c r="E50" s="11">
        <v>57</v>
      </c>
    </row>
    <row r="51" spans="1:6" ht="15">
      <c r="A51" s="10">
        <v>58</v>
      </c>
      <c r="B51" s="10" t="s">
        <v>417</v>
      </c>
      <c r="C51" s="10" t="s">
        <v>401</v>
      </c>
      <c r="D51" s="11">
        <v>2001</v>
      </c>
      <c r="E51" s="11">
        <v>58</v>
      </c>
      <c r="F51" s="13"/>
    </row>
    <row r="52" spans="1:5" ht="15">
      <c r="A52" s="10">
        <v>59</v>
      </c>
      <c r="B52" s="10" t="s">
        <v>416</v>
      </c>
      <c r="C52" s="10" t="s">
        <v>216</v>
      </c>
      <c r="D52" s="11">
        <v>1999</v>
      </c>
      <c r="E52" s="11">
        <v>59</v>
      </c>
    </row>
    <row r="53" spans="1:5" ht="15">
      <c r="A53" s="10">
        <v>60</v>
      </c>
      <c r="B53" s="10" t="s">
        <v>415</v>
      </c>
      <c r="C53" s="10" t="s">
        <v>220</v>
      </c>
      <c r="D53" s="11">
        <v>2001</v>
      </c>
      <c r="E53" s="11">
        <v>60</v>
      </c>
    </row>
    <row r="54" spans="1:5" ht="15">
      <c r="A54" s="10">
        <v>62</v>
      </c>
      <c r="B54" s="10" t="s">
        <v>414</v>
      </c>
      <c r="C54" s="10" t="s">
        <v>300</v>
      </c>
      <c r="D54" s="11">
        <v>2000</v>
      </c>
      <c r="E54" s="11">
        <v>61.5</v>
      </c>
    </row>
    <row r="55" spans="1:5" ht="15">
      <c r="A55" s="10">
        <v>63</v>
      </c>
      <c r="B55" s="10" t="s">
        <v>413</v>
      </c>
      <c r="C55" s="10" t="s">
        <v>216</v>
      </c>
      <c r="D55" s="11">
        <v>2001</v>
      </c>
      <c r="E55" s="11">
        <v>63</v>
      </c>
    </row>
    <row r="56" spans="1:6" ht="15">
      <c r="A56" s="10">
        <v>64</v>
      </c>
      <c r="B56" s="10" t="s">
        <v>412</v>
      </c>
      <c r="C56" s="10" t="s">
        <v>356</v>
      </c>
      <c r="D56" s="11">
        <v>1999</v>
      </c>
      <c r="E56" s="11">
        <v>64</v>
      </c>
      <c r="F56" s="13"/>
    </row>
    <row r="57" spans="1:5" ht="15">
      <c r="A57" s="10">
        <v>65</v>
      </c>
      <c r="B57" s="10" t="s">
        <v>411</v>
      </c>
      <c r="C57" s="10" t="s">
        <v>410</v>
      </c>
      <c r="D57" s="11">
        <v>1998</v>
      </c>
      <c r="E57" s="11">
        <v>65.5</v>
      </c>
    </row>
    <row r="58" spans="1:5" ht="15">
      <c r="A58" s="10">
        <v>66</v>
      </c>
      <c r="B58" s="10" t="s">
        <v>409</v>
      </c>
      <c r="C58" s="10" t="s">
        <v>356</v>
      </c>
      <c r="D58" s="11">
        <v>2002</v>
      </c>
      <c r="E58" s="11">
        <v>65.5</v>
      </c>
    </row>
    <row r="59" spans="1:5" ht="15">
      <c r="A59" s="10">
        <v>67</v>
      </c>
      <c r="B59" s="10" t="s">
        <v>408</v>
      </c>
      <c r="C59" s="10" t="s">
        <v>295</v>
      </c>
      <c r="D59" s="11">
        <v>1999</v>
      </c>
      <c r="E59" s="11">
        <v>67</v>
      </c>
    </row>
    <row r="60" spans="1:5" ht="15">
      <c r="A60" s="10">
        <v>70</v>
      </c>
      <c r="B60" s="10" t="s">
        <v>407</v>
      </c>
      <c r="C60" s="10" t="s">
        <v>406</v>
      </c>
      <c r="D60" s="11">
        <v>1999</v>
      </c>
      <c r="E60" s="11">
        <v>70</v>
      </c>
    </row>
    <row r="61" spans="1:5" ht="15">
      <c r="A61" s="10">
        <v>72</v>
      </c>
      <c r="B61" s="10" t="s">
        <v>405</v>
      </c>
      <c r="C61" s="10" t="s">
        <v>298</v>
      </c>
      <c r="D61" s="11">
        <v>2000</v>
      </c>
      <c r="E61" s="11">
        <v>72</v>
      </c>
    </row>
    <row r="62" spans="1:6" ht="15">
      <c r="A62" s="10">
        <v>75</v>
      </c>
      <c r="B62" s="10" t="s">
        <v>404</v>
      </c>
      <c r="C62" s="10" t="s">
        <v>363</v>
      </c>
      <c r="D62" s="11">
        <v>2000</v>
      </c>
      <c r="E62" s="11">
        <v>75.5</v>
      </c>
      <c r="F62" s="13"/>
    </row>
    <row r="63" spans="1:5" ht="15">
      <c r="A63" s="10">
        <v>76</v>
      </c>
      <c r="B63" s="10" t="s">
        <v>403</v>
      </c>
      <c r="C63" s="10" t="s">
        <v>398</v>
      </c>
      <c r="D63" s="11">
        <v>2000</v>
      </c>
      <c r="E63" s="11">
        <v>75.5</v>
      </c>
    </row>
    <row r="64" spans="1:5" ht="15">
      <c r="A64" s="10">
        <v>77</v>
      </c>
      <c r="B64" s="10" t="s">
        <v>402</v>
      </c>
      <c r="C64" s="10" t="s">
        <v>401</v>
      </c>
      <c r="D64" s="11">
        <v>2000</v>
      </c>
      <c r="E64" s="11">
        <v>77</v>
      </c>
    </row>
    <row r="65" spans="1:5" ht="15">
      <c r="A65" s="10">
        <v>80</v>
      </c>
      <c r="B65" s="10" t="s">
        <v>400</v>
      </c>
      <c r="C65" s="10" t="s">
        <v>220</v>
      </c>
      <c r="D65" s="11">
        <v>2001</v>
      </c>
      <c r="E65" s="11">
        <v>80</v>
      </c>
    </row>
    <row r="66" spans="1:5" ht="15">
      <c r="A66" s="10">
        <v>81</v>
      </c>
      <c r="B66" s="10" t="s">
        <v>399</v>
      </c>
      <c r="C66" s="10" t="s">
        <v>398</v>
      </c>
      <c r="D66" s="11">
        <v>2000</v>
      </c>
      <c r="E66" s="11">
        <v>81</v>
      </c>
    </row>
    <row r="67" spans="1:5" ht="15">
      <c r="A67" s="10">
        <v>82</v>
      </c>
      <c r="B67" s="10" t="s">
        <v>397</v>
      </c>
      <c r="C67" s="10" t="s">
        <v>396</v>
      </c>
      <c r="D67" s="11">
        <v>1999</v>
      </c>
      <c r="E67" s="11">
        <v>82</v>
      </c>
    </row>
    <row r="68" spans="1:5" ht="15">
      <c r="A68" s="10">
        <v>83</v>
      </c>
      <c r="B68" s="10" t="s">
        <v>395</v>
      </c>
      <c r="C68" s="10" t="s">
        <v>299</v>
      </c>
      <c r="D68" s="11">
        <v>2001</v>
      </c>
      <c r="E68" s="11">
        <v>83</v>
      </c>
    </row>
    <row r="69" spans="1:5" ht="15">
      <c r="A69" s="10">
        <v>85</v>
      </c>
      <c r="B69" s="10" t="s">
        <v>394</v>
      </c>
      <c r="C69" s="10" t="s">
        <v>393</v>
      </c>
      <c r="D69" s="11">
        <v>2002</v>
      </c>
      <c r="E69" s="11">
        <v>85</v>
      </c>
    </row>
    <row r="70" spans="1:5" ht="15">
      <c r="A70" s="10">
        <v>86</v>
      </c>
      <c r="B70" s="10" t="s">
        <v>392</v>
      </c>
      <c r="C70" s="10" t="s">
        <v>299</v>
      </c>
      <c r="D70" s="11">
        <v>1999</v>
      </c>
      <c r="E70" s="11">
        <v>86</v>
      </c>
    </row>
    <row r="71" spans="1:5" ht="15">
      <c r="A71" s="10">
        <v>87</v>
      </c>
      <c r="B71" s="10" t="s">
        <v>391</v>
      </c>
      <c r="C71" s="10" t="s">
        <v>299</v>
      </c>
      <c r="D71" s="11">
        <v>1999</v>
      </c>
      <c r="E71" s="11">
        <v>87</v>
      </c>
    </row>
    <row r="72" spans="1:5" ht="15">
      <c r="A72" s="10">
        <v>88</v>
      </c>
      <c r="B72" s="10" t="s">
        <v>390</v>
      </c>
      <c r="C72" s="10" t="s">
        <v>289</v>
      </c>
      <c r="D72" s="11">
        <v>1999</v>
      </c>
      <c r="E72" s="11">
        <v>88</v>
      </c>
    </row>
    <row r="73" spans="1:5" ht="15">
      <c r="A73" s="10">
        <v>89</v>
      </c>
      <c r="B73" s="10" t="s">
        <v>389</v>
      </c>
      <c r="C73" s="10" t="s">
        <v>358</v>
      </c>
      <c r="D73" s="11">
        <v>2000</v>
      </c>
      <c r="E73" s="11">
        <v>89</v>
      </c>
    </row>
    <row r="74" spans="1:5" ht="15">
      <c r="A74" s="10">
        <v>91</v>
      </c>
      <c r="B74" s="10" t="s">
        <v>388</v>
      </c>
      <c r="C74" s="10" t="s">
        <v>387</v>
      </c>
      <c r="D74" s="11">
        <v>2002</v>
      </c>
      <c r="E74" s="11">
        <v>91</v>
      </c>
    </row>
    <row r="75" spans="1:5" ht="15">
      <c r="A75" s="10">
        <v>93</v>
      </c>
      <c r="B75" s="10" t="s">
        <v>386</v>
      </c>
      <c r="C75" s="10" t="s">
        <v>385</v>
      </c>
      <c r="D75" s="11">
        <v>2000</v>
      </c>
      <c r="E75" s="11">
        <v>93</v>
      </c>
    </row>
    <row r="76" spans="1:5" ht="15">
      <c r="A76" s="10">
        <v>94</v>
      </c>
      <c r="B76" s="10" t="s">
        <v>384</v>
      </c>
      <c r="C76" s="10" t="s">
        <v>248</v>
      </c>
      <c r="D76" s="11">
        <v>2001</v>
      </c>
      <c r="E76" s="11">
        <v>94</v>
      </c>
    </row>
    <row r="77" spans="1:5" ht="15">
      <c r="A77" s="10">
        <v>95</v>
      </c>
      <c r="B77" s="10" t="s">
        <v>383</v>
      </c>
      <c r="C77" s="10" t="s">
        <v>363</v>
      </c>
      <c r="D77" s="11">
        <v>2000</v>
      </c>
      <c r="E77" s="11">
        <v>95</v>
      </c>
    </row>
    <row r="78" spans="1:5" ht="15">
      <c r="A78" s="10">
        <v>97</v>
      </c>
      <c r="B78" s="10" t="s">
        <v>382</v>
      </c>
      <c r="C78" s="10" t="s">
        <v>304</v>
      </c>
      <c r="D78" s="11">
        <v>2001</v>
      </c>
      <c r="E78" s="11">
        <v>97</v>
      </c>
    </row>
    <row r="79" spans="1:5" ht="15">
      <c r="A79" s="10">
        <v>98</v>
      </c>
      <c r="B79" s="10" t="s">
        <v>381</v>
      </c>
      <c r="C79" s="10" t="s">
        <v>358</v>
      </c>
      <c r="D79" s="11">
        <v>1998</v>
      </c>
      <c r="E79" s="11">
        <v>98.5</v>
      </c>
    </row>
    <row r="80" spans="1:5" ht="15">
      <c r="A80" s="10">
        <v>103</v>
      </c>
      <c r="B80" s="10" t="s">
        <v>380</v>
      </c>
      <c r="C80" s="10" t="s">
        <v>298</v>
      </c>
      <c r="D80" s="11">
        <v>1999</v>
      </c>
      <c r="E80" s="11">
        <v>103</v>
      </c>
    </row>
    <row r="81" spans="1:5" ht="15">
      <c r="A81" s="10">
        <v>104</v>
      </c>
      <c r="B81" s="10" t="s">
        <v>379</v>
      </c>
      <c r="C81" s="10" t="s">
        <v>268</v>
      </c>
      <c r="D81" s="11">
        <v>2000</v>
      </c>
      <c r="E81" s="11">
        <v>104</v>
      </c>
    </row>
    <row r="82" spans="1:5" ht="15">
      <c r="A82" s="10">
        <v>106</v>
      </c>
      <c r="B82" s="10" t="s">
        <v>378</v>
      </c>
      <c r="C82" s="10" t="s">
        <v>295</v>
      </c>
      <c r="D82" s="11">
        <v>1998</v>
      </c>
      <c r="E82" s="11">
        <v>108</v>
      </c>
    </row>
    <row r="83" spans="1:5" ht="15">
      <c r="A83" s="10">
        <v>108</v>
      </c>
      <c r="B83" s="10" t="s">
        <v>377</v>
      </c>
      <c r="C83" s="10" t="s">
        <v>220</v>
      </c>
      <c r="D83" s="11">
        <v>2002</v>
      </c>
      <c r="E83" s="11">
        <v>108</v>
      </c>
    </row>
    <row r="84" spans="1:5" ht="15">
      <c r="A84" s="10">
        <v>112</v>
      </c>
      <c r="B84" s="10" t="s">
        <v>376</v>
      </c>
      <c r="C84" s="10" t="s">
        <v>375</v>
      </c>
      <c r="D84" s="11">
        <v>1999</v>
      </c>
      <c r="E84" s="11">
        <v>113.5</v>
      </c>
    </row>
    <row r="85" spans="1:5" ht="15">
      <c r="A85" s="10">
        <v>114</v>
      </c>
      <c r="B85" s="10" t="s">
        <v>374</v>
      </c>
      <c r="C85" s="10" t="s">
        <v>373</v>
      </c>
      <c r="D85" s="11">
        <v>2001</v>
      </c>
      <c r="E85" s="11">
        <v>113.5</v>
      </c>
    </row>
    <row r="86" spans="1:5" ht="15">
      <c r="A86" s="10">
        <v>116</v>
      </c>
      <c r="B86" s="10" t="s">
        <v>372</v>
      </c>
      <c r="C86" s="10" t="s">
        <v>371</v>
      </c>
      <c r="D86" s="11">
        <v>2001</v>
      </c>
      <c r="E86" s="11">
        <v>121.5</v>
      </c>
    </row>
    <row r="87" spans="1:5" ht="15">
      <c r="A87" s="10">
        <v>119</v>
      </c>
      <c r="B87" s="10" t="s">
        <v>370</v>
      </c>
      <c r="C87" s="10" t="s">
        <v>300</v>
      </c>
      <c r="D87" s="11">
        <v>2002</v>
      </c>
      <c r="E87" s="11">
        <v>121.5</v>
      </c>
    </row>
    <row r="88" spans="1:5" ht="15">
      <c r="A88" s="10">
        <v>128</v>
      </c>
      <c r="B88" s="10" t="s">
        <v>369</v>
      </c>
      <c r="C88" s="10" t="s">
        <v>368</v>
      </c>
      <c r="D88" s="11">
        <v>2001</v>
      </c>
      <c r="E88" s="11">
        <v>128.5</v>
      </c>
    </row>
    <row r="89" spans="1:5" ht="15">
      <c r="A89" s="10">
        <v>129</v>
      </c>
      <c r="B89" s="10" t="s">
        <v>367</v>
      </c>
      <c r="C89" s="10" t="s">
        <v>246</v>
      </c>
      <c r="D89" s="11">
        <v>2002</v>
      </c>
      <c r="E89" s="11">
        <v>128.5</v>
      </c>
    </row>
    <row r="90" spans="1:5" ht="15">
      <c r="A90" s="10">
        <v>131</v>
      </c>
      <c r="B90" s="10" t="s">
        <v>366</v>
      </c>
      <c r="C90" s="10" t="s">
        <v>295</v>
      </c>
      <c r="D90" s="11">
        <v>1998</v>
      </c>
      <c r="E90" s="11">
        <v>999</v>
      </c>
    </row>
    <row r="91" spans="1:5" ht="15">
      <c r="A91" s="10">
        <v>132</v>
      </c>
      <c r="B91" s="10" t="s">
        <v>365</v>
      </c>
      <c r="C91" s="10" t="s">
        <v>298</v>
      </c>
      <c r="D91" s="11">
        <v>2001</v>
      </c>
      <c r="E91" s="11">
        <v>999</v>
      </c>
    </row>
    <row r="92" spans="1:5" ht="15">
      <c r="A92" s="10">
        <v>138</v>
      </c>
      <c r="B92" s="10" t="s">
        <v>364</v>
      </c>
      <c r="C92" s="10" t="s">
        <v>363</v>
      </c>
      <c r="D92" s="11">
        <v>2000</v>
      </c>
      <c r="E92" s="11">
        <v>999</v>
      </c>
    </row>
    <row r="93" spans="1:5" ht="15">
      <c r="A93" s="10">
        <v>140</v>
      </c>
      <c r="B93" s="10" t="s">
        <v>362</v>
      </c>
      <c r="C93" s="10" t="s">
        <v>361</v>
      </c>
      <c r="D93" s="11">
        <v>1998</v>
      </c>
      <c r="E93" s="11">
        <v>999</v>
      </c>
    </row>
    <row r="94" spans="1:5" ht="15">
      <c r="A94" s="10">
        <v>142</v>
      </c>
      <c r="B94" s="10" t="s">
        <v>360</v>
      </c>
      <c r="C94" s="10" t="s">
        <v>300</v>
      </c>
      <c r="D94" s="11">
        <v>2000</v>
      </c>
      <c r="E94" s="11">
        <v>999</v>
      </c>
    </row>
    <row r="95" spans="1:5" ht="15">
      <c r="A95" s="10">
        <v>143</v>
      </c>
      <c r="B95" s="10" t="s">
        <v>359</v>
      </c>
      <c r="C95" s="10" t="s">
        <v>358</v>
      </c>
      <c r="D95" s="11">
        <v>2000</v>
      </c>
      <c r="E95" s="11">
        <v>999</v>
      </c>
    </row>
    <row r="96" spans="1:5" ht="15">
      <c r="A96" s="10">
        <v>173</v>
      </c>
      <c r="B96" s="10" t="s">
        <v>357</v>
      </c>
      <c r="C96" s="10" t="s">
        <v>356</v>
      </c>
      <c r="D96" s="11">
        <v>2001</v>
      </c>
      <c r="E96" s="11">
        <v>999</v>
      </c>
    </row>
    <row r="97" spans="1:5" ht="15">
      <c r="A97" s="10">
        <v>178</v>
      </c>
      <c r="B97" s="10" t="s">
        <v>355</v>
      </c>
      <c r="C97" s="10" t="s">
        <v>352</v>
      </c>
      <c r="D97" s="11">
        <v>2002</v>
      </c>
      <c r="E97" s="11">
        <v>999</v>
      </c>
    </row>
    <row r="98" spans="1:5" ht="15">
      <c r="A98" s="10">
        <v>179</v>
      </c>
      <c r="B98" s="10" t="s">
        <v>354</v>
      </c>
      <c r="C98" s="10" t="s">
        <v>352</v>
      </c>
      <c r="D98" s="11">
        <v>2000</v>
      </c>
      <c r="E98" s="11">
        <v>999</v>
      </c>
    </row>
    <row r="99" spans="1:5" ht="15">
      <c r="A99" s="10">
        <v>180</v>
      </c>
      <c r="B99" s="10" t="s">
        <v>353</v>
      </c>
      <c r="C99" s="10" t="s">
        <v>352</v>
      </c>
      <c r="D99" s="11">
        <v>2000</v>
      </c>
      <c r="E99" s="11">
        <v>999</v>
      </c>
    </row>
    <row r="100" spans="1:5" ht="15">
      <c r="A100" s="10">
        <v>181</v>
      </c>
      <c r="B100" s="10" t="s">
        <v>351</v>
      </c>
      <c r="C100" s="10" t="s">
        <v>329</v>
      </c>
      <c r="D100" s="11">
        <v>2002</v>
      </c>
      <c r="E100" s="11">
        <v>999</v>
      </c>
    </row>
    <row r="101" spans="1:5" ht="15">
      <c r="A101" s="10">
        <v>182</v>
      </c>
      <c r="B101" s="10" t="s">
        <v>350</v>
      </c>
      <c r="C101" s="10" t="s">
        <v>296</v>
      </c>
      <c r="D101" s="11">
        <v>2001</v>
      </c>
      <c r="E101" s="11">
        <v>999</v>
      </c>
    </row>
    <row r="102" spans="1:5" ht="15">
      <c r="A102" s="10">
        <v>183</v>
      </c>
      <c r="B102" s="10" t="s">
        <v>349</v>
      </c>
      <c r="C102" s="10" t="s">
        <v>246</v>
      </c>
      <c r="D102" s="11">
        <v>2002</v>
      </c>
      <c r="E102" s="11">
        <v>999</v>
      </c>
    </row>
    <row r="103" spans="1:5" ht="15">
      <c r="A103" s="10">
        <v>184</v>
      </c>
      <c r="B103" s="10" t="s">
        <v>348</v>
      </c>
      <c r="C103" s="10" t="s">
        <v>220</v>
      </c>
      <c r="D103" s="11">
        <v>2002</v>
      </c>
      <c r="E103" s="11">
        <v>999</v>
      </c>
    </row>
    <row r="104" spans="1:5" ht="15">
      <c r="A104" s="10">
        <v>186</v>
      </c>
      <c r="B104" s="10" t="s">
        <v>347</v>
      </c>
      <c r="C104" s="10" t="s">
        <v>249</v>
      </c>
      <c r="D104" s="11">
        <v>2001</v>
      </c>
      <c r="E104" s="11">
        <v>999</v>
      </c>
    </row>
    <row r="105" spans="1:5" ht="15">
      <c r="A105" s="10">
        <v>187</v>
      </c>
      <c r="B105" s="10" t="s">
        <v>346</v>
      </c>
      <c r="C105" s="10" t="s">
        <v>298</v>
      </c>
      <c r="D105" s="11">
        <v>2001</v>
      </c>
      <c r="E105" s="11">
        <v>999</v>
      </c>
    </row>
    <row r="106" spans="1:5" ht="15">
      <c r="A106" s="10">
        <v>189</v>
      </c>
      <c r="B106" s="10" t="s">
        <v>345</v>
      </c>
      <c r="C106" s="10" t="s">
        <v>344</v>
      </c>
      <c r="D106" s="11">
        <v>2000</v>
      </c>
      <c r="E106" s="11">
        <v>999</v>
      </c>
    </row>
    <row r="107" spans="1:5" ht="15">
      <c r="A107" s="10">
        <v>190</v>
      </c>
      <c r="B107" s="10" t="s">
        <v>343</v>
      </c>
      <c r="C107" s="10" t="s">
        <v>248</v>
      </c>
      <c r="D107" s="11">
        <v>2002</v>
      </c>
      <c r="E107" s="11">
        <v>999</v>
      </c>
    </row>
    <row r="108" spans="1:5" ht="15">
      <c r="A108" s="10">
        <v>191</v>
      </c>
      <c r="B108" s="10" t="s">
        <v>342</v>
      </c>
      <c r="C108" s="10" t="s">
        <v>268</v>
      </c>
      <c r="D108" s="11">
        <v>2002</v>
      </c>
      <c r="E108" s="11">
        <v>999</v>
      </c>
    </row>
    <row r="109" spans="1:5" ht="15">
      <c r="A109" s="10">
        <v>192</v>
      </c>
      <c r="B109" s="10" t="s">
        <v>341</v>
      </c>
      <c r="C109" s="10" t="s">
        <v>340</v>
      </c>
      <c r="D109" s="11">
        <v>1999</v>
      </c>
      <c r="E109" s="11">
        <v>999</v>
      </c>
    </row>
    <row r="110" spans="1:5" ht="15">
      <c r="A110" s="10">
        <v>193</v>
      </c>
      <c r="B110" s="10" t="s">
        <v>339</v>
      </c>
      <c r="C110" s="10" t="s">
        <v>333</v>
      </c>
      <c r="D110" s="11">
        <v>1999</v>
      </c>
      <c r="E110" s="11">
        <v>999</v>
      </c>
    </row>
    <row r="111" spans="1:5" ht="15">
      <c r="A111" s="10">
        <v>194</v>
      </c>
      <c r="B111" s="10" t="s">
        <v>338</v>
      </c>
      <c r="C111" s="10" t="s">
        <v>337</v>
      </c>
      <c r="D111" s="11">
        <v>1999</v>
      </c>
      <c r="E111" s="11">
        <v>999</v>
      </c>
    </row>
    <row r="112" spans="1:5" ht="15">
      <c r="A112" s="10">
        <v>195</v>
      </c>
      <c r="B112" s="10" t="s">
        <v>336</v>
      </c>
      <c r="C112" s="10" t="s">
        <v>335</v>
      </c>
      <c r="D112" s="11">
        <v>2000</v>
      </c>
      <c r="E112" s="11">
        <v>999</v>
      </c>
    </row>
    <row r="113" spans="1:5" ht="15">
      <c r="A113" s="10">
        <v>196</v>
      </c>
      <c r="B113" s="10" t="s">
        <v>334</v>
      </c>
      <c r="C113" s="10" t="s">
        <v>333</v>
      </c>
      <c r="D113" s="11">
        <v>2002</v>
      </c>
      <c r="E113" s="11">
        <v>999</v>
      </c>
    </row>
    <row r="114" spans="1:5" ht="15">
      <c r="A114" s="10">
        <v>198</v>
      </c>
      <c r="B114" s="10" t="s">
        <v>332</v>
      </c>
      <c r="C114" s="10" t="s">
        <v>331</v>
      </c>
      <c r="D114" s="11">
        <v>2001</v>
      </c>
      <c r="E114" s="11">
        <v>999</v>
      </c>
    </row>
    <row r="115" spans="1:5" ht="15">
      <c r="A115" s="10">
        <v>199</v>
      </c>
      <c r="B115" s="10" t="s">
        <v>330</v>
      </c>
      <c r="C115" s="10" t="s">
        <v>329</v>
      </c>
      <c r="D115" s="11">
        <v>2001</v>
      </c>
      <c r="E115" s="11">
        <v>999</v>
      </c>
    </row>
    <row r="116" spans="1:6" ht="15">
      <c r="A116" s="10" t="s">
        <v>78</v>
      </c>
      <c r="B116" s="10" t="s">
        <v>78</v>
      </c>
      <c r="C116" s="10" t="s">
        <v>78</v>
      </c>
      <c r="D116" s="11" t="s">
        <v>78</v>
      </c>
      <c r="E116" s="11" t="s">
        <v>78</v>
      </c>
      <c r="F116" s="13"/>
    </row>
    <row r="117" spans="1:5" ht="15">
      <c r="A117" s="10" t="s">
        <v>78</v>
      </c>
      <c r="B117" s="10" t="s">
        <v>78</v>
      </c>
      <c r="C117" s="10" t="s">
        <v>78</v>
      </c>
      <c r="D117" s="11" t="s">
        <v>78</v>
      </c>
      <c r="E117" s="11" t="s">
        <v>78</v>
      </c>
    </row>
    <row r="118" spans="1:6" ht="15">
      <c r="A118" s="10" t="s">
        <v>78</v>
      </c>
      <c r="B118" s="10" t="s">
        <v>78</v>
      </c>
      <c r="C118" s="10" t="s">
        <v>78</v>
      </c>
      <c r="D118" s="11" t="s">
        <v>78</v>
      </c>
      <c r="E118" s="11" t="s">
        <v>78</v>
      </c>
      <c r="F118" s="13"/>
    </row>
    <row r="119" spans="1:6" ht="15">
      <c r="A119" s="10" t="s">
        <v>78</v>
      </c>
      <c r="B119" s="10" t="s">
        <v>78</v>
      </c>
      <c r="C119" s="10" t="s">
        <v>78</v>
      </c>
      <c r="D119" s="11" t="s">
        <v>78</v>
      </c>
      <c r="E119" s="11" t="s">
        <v>78</v>
      </c>
      <c r="F119" s="13"/>
    </row>
    <row r="120" spans="1:5" ht="15">
      <c r="A120" s="10" t="s">
        <v>78</v>
      </c>
      <c r="B120" s="10" t="s">
        <v>78</v>
      </c>
      <c r="C120" s="10" t="s">
        <v>78</v>
      </c>
      <c r="D120" s="11" t="s">
        <v>78</v>
      </c>
      <c r="E120" s="11" t="s">
        <v>78</v>
      </c>
    </row>
    <row r="121" spans="1:5" ht="15">
      <c r="A121" s="10" t="s">
        <v>78</v>
      </c>
      <c r="B121" s="10" t="s">
        <v>78</v>
      </c>
      <c r="C121" s="10" t="s">
        <v>78</v>
      </c>
      <c r="D121" s="11" t="s">
        <v>78</v>
      </c>
      <c r="E121" s="11" t="s">
        <v>78</v>
      </c>
    </row>
    <row r="122" spans="1:5" ht="15">
      <c r="A122" s="10" t="s">
        <v>78</v>
      </c>
      <c r="B122" s="10" t="s">
        <v>78</v>
      </c>
      <c r="C122" s="10" t="s">
        <v>78</v>
      </c>
      <c r="D122" s="11" t="s">
        <v>78</v>
      </c>
      <c r="E122" s="11" t="s">
        <v>78</v>
      </c>
    </row>
    <row r="123" spans="1:5" ht="15">
      <c r="A123" s="10" t="s">
        <v>78</v>
      </c>
      <c r="B123" s="10" t="s">
        <v>78</v>
      </c>
      <c r="C123" s="10" t="s">
        <v>78</v>
      </c>
      <c r="D123" s="11" t="s">
        <v>78</v>
      </c>
      <c r="E123" s="11" t="s">
        <v>78</v>
      </c>
    </row>
    <row r="124" spans="1:5" ht="15">
      <c r="A124" s="10" t="s">
        <v>78</v>
      </c>
      <c r="B124" s="10" t="s">
        <v>78</v>
      </c>
      <c r="C124" s="10" t="s">
        <v>78</v>
      </c>
      <c r="D124" s="11" t="s">
        <v>78</v>
      </c>
      <c r="E124" s="11" t="s">
        <v>78</v>
      </c>
    </row>
    <row r="125" spans="1:5" ht="15">
      <c r="A125" s="10" t="s">
        <v>78</v>
      </c>
      <c r="B125" s="10" t="s">
        <v>78</v>
      </c>
      <c r="C125" s="10" t="s">
        <v>78</v>
      </c>
      <c r="D125" s="11" t="s">
        <v>78</v>
      </c>
      <c r="E125" s="11" t="s">
        <v>78</v>
      </c>
    </row>
    <row r="126" spans="1:5" ht="15">
      <c r="A126" s="10" t="s">
        <v>78</v>
      </c>
      <c r="B126" s="10" t="s">
        <v>78</v>
      </c>
      <c r="C126" s="10" t="s">
        <v>78</v>
      </c>
      <c r="D126" s="11" t="s">
        <v>78</v>
      </c>
      <c r="E126" s="11" t="s">
        <v>78</v>
      </c>
    </row>
    <row r="127" spans="1:5" ht="15">
      <c r="A127" s="10" t="s">
        <v>78</v>
      </c>
      <c r="B127" s="10" t="s">
        <v>78</v>
      </c>
      <c r="C127" s="10" t="s">
        <v>78</v>
      </c>
      <c r="D127" s="11" t="s">
        <v>78</v>
      </c>
      <c r="E127" s="11" t="s">
        <v>78</v>
      </c>
    </row>
    <row r="128" spans="1:5" ht="15">
      <c r="A128" s="10" t="s">
        <v>78</v>
      </c>
      <c r="B128" s="10" t="s">
        <v>78</v>
      </c>
      <c r="C128" s="10" t="s">
        <v>78</v>
      </c>
      <c r="D128" s="11" t="s">
        <v>78</v>
      </c>
      <c r="E128" s="11" t="s">
        <v>78</v>
      </c>
    </row>
    <row r="129" spans="1:6" ht="15">
      <c r="A129" s="10" t="s">
        <v>78</v>
      </c>
      <c r="B129" s="10" t="s">
        <v>78</v>
      </c>
      <c r="C129" s="10" t="s">
        <v>78</v>
      </c>
      <c r="D129" s="11" t="s">
        <v>78</v>
      </c>
      <c r="E129" s="11" t="s">
        <v>78</v>
      </c>
      <c r="F129" s="13"/>
    </row>
    <row r="130" spans="1:5" ht="15">
      <c r="A130" s="10" t="s">
        <v>78</v>
      </c>
      <c r="B130" s="10" t="s">
        <v>78</v>
      </c>
      <c r="C130" s="10" t="s">
        <v>78</v>
      </c>
      <c r="D130" s="11" t="s">
        <v>78</v>
      </c>
      <c r="E130" s="11" t="s">
        <v>78</v>
      </c>
    </row>
    <row r="131" spans="1:5" ht="15">
      <c r="A131" s="10" t="s">
        <v>78</v>
      </c>
      <c r="B131" s="10" t="s">
        <v>78</v>
      </c>
      <c r="C131" s="10" t="s">
        <v>78</v>
      </c>
      <c r="D131" s="11" t="s">
        <v>78</v>
      </c>
      <c r="E131" s="11" t="s">
        <v>78</v>
      </c>
    </row>
    <row r="132" spans="1:5" ht="15">
      <c r="A132" s="10" t="s">
        <v>78</v>
      </c>
      <c r="B132" s="10" t="s">
        <v>78</v>
      </c>
      <c r="C132" s="10" t="s">
        <v>78</v>
      </c>
      <c r="D132" s="11" t="s">
        <v>78</v>
      </c>
      <c r="E132" s="11" t="s">
        <v>78</v>
      </c>
    </row>
    <row r="133" spans="1:5" ht="15">
      <c r="A133" s="10" t="s">
        <v>78</v>
      </c>
      <c r="B133" s="10" t="s">
        <v>78</v>
      </c>
      <c r="C133" s="10" t="s">
        <v>78</v>
      </c>
      <c r="D133" s="11" t="s">
        <v>78</v>
      </c>
      <c r="E133" s="11" t="s">
        <v>78</v>
      </c>
    </row>
    <row r="134" spans="1:5" ht="15">
      <c r="A134" s="10" t="s">
        <v>78</v>
      </c>
      <c r="B134" s="10" t="s">
        <v>78</v>
      </c>
      <c r="C134" s="10" t="s">
        <v>78</v>
      </c>
      <c r="D134" s="11" t="s">
        <v>78</v>
      </c>
      <c r="E134" s="11" t="s">
        <v>78</v>
      </c>
    </row>
    <row r="135" spans="1:5" ht="15">
      <c r="A135" s="10" t="s">
        <v>78</v>
      </c>
      <c r="B135" s="10" t="s">
        <v>78</v>
      </c>
      <c r="C135" s="10" t="s">
        <v>78</v>
      </c>
      <c r="D135" s="11" t="s">
        <v>78</v>
      </c>
      <c r="E135" s="11" t="s">
        <v>78</v>
      </c>
    </row>
    <row r="136" spans="1:5" ht="15">
      <c r="A136" s="10" t="s">
        <v>78</v>
      </c>
      <c r="B136" s="10" t="s">
        <v>78</v>
      </c>
      <c r="C136" s="10" t="s">
        <v>78</v>
      </c>
      <c r="D136" s="11" t="s">
        <v>78</v>
      </c>
      <c r="E136" s="11" t="s">
        <v>78</v>
      </c>
    </row>
    <row r="137" spans="1:5" ht="15">
      <c r="A137" s="10" t="s">
        <v>78</v>
      </c>
      <c r="B137" s="10" t="s">
        <v>78</v>
      </c>
      <c r="C137" s="10" t="s">
        <v>78</v>
      </c>
      <c r="D137" s="11" t="s">
        <v>78</v>
      </c>
      <c r="E137" s="11" t="s">
        <v>78</v>
      </c>
    </row>
    <row r="138" spans="1:5" ht="15">
      <c r="A138" s="10" t="s">
        <v>78</v>
      </c>
      <c r="B138" s="10" t="s">
        <v>78</v>
      </c>
      <c r="C138" s="10" t="s">
        <v>78</v>
      </c>
      <c r="D138" s="11" t="s">
        <v>78</v>
      </c>
      <c r="E138" s="11" t="s">
        <v>78</v>
      </c>
    </row>
    <row r="139" spans="1:5" ht="15">
      <c r="A139" s="10" t="s">
        <v>78</v>
      </c>
      <c r="B139" s="10" t="s">
        <v>78</v>
      </c>
      <c r="C139" s="10" t="s">
        <v>78</v>
      </c>
      <c r="D139" s="11" t="s">
        <v>78</v>
      </c>
      <c r="E139" s="11" t="s">
        <v>78</v>
      </c>
    </row>
    <row r="140" spans="1:5" ht="15">
      <c r="A140" s="10" t="s">
        <v>78</v>
      </c>
      <c r="B140" s="10" t="s">
        <v>78</v>
      </c>
      <c r="C140" s="10" t="s">
        <v>78</v>
      </c>
      <c r="D140" s="11" t="s">
        <v>78</v>
      </c>
      <c r="E140" s="11" t="s">
        <v>78</v>
      </c>
    </row>
    <row r="141" spans="1:5" ht="15">
      <c r="A141" s="10" t="s">
        <v>78</v>
      </c>
      <c r="B141" s="10" t="s">
        <v>78</v>
      </c>
      <c r="C141" s="10" t="s">
        <v>78</v>
      </c>
      <c r="D141" s="11" t="s">
        <v>78</v>
      </c>
      <c r="E141" s="11" t="s">
        <v>78</v>
      </c>
    </row>
    <row r="142" spans="1:5" ht="15">
      <c r="A142" s="10" t="s">
        <v>78</v>
      </c>
      <c r="B142" s="10" t="s">
        <v>78</v>
      </c>
      <c r="C142" s="10" t="s">
        <v>78</v>
      </c>
      <c r="D142" s="11" t="s">
        <v>78</v>
      </c>
      <c r="E142" s="11" t="s">
        <v>78</v>
      </c>
    </row>
    <row r="143" spans="1:5" ht="15">
      <c r="A143" s="10" t="s">
        <v>78</v>
      </c>
      <c r="B143" s="10" t="s">
        <v>78</v>
      </c>
      <c r="C143" s="10" t="s">
        <v>78</v>
      </c>
      <c r="D143" s="11" t="s">
        <v>78</v>
      </c>
      <c r="E143" s="11" t="s">
        <v>78</v>
      </c>
    </row>
    <row r="144" spans="1:5" ht="15">
      <c r="A144" s="10" t="s">
        <v>78</v>
      </c>
      <c r="B144" s="10" t="s">
        <v>78</v>
      </c>
      <c r="C144" s="10" t="s">
        <v>78</v>
      </c>
      <c r="D144" s="11" t="s">
        <v>78</v>
      </c>
      <c r="E144" s="11" t="s">
        <v>78</v>
      </c>
    </row>
    <row r="145" spans="1:5" ht="15">
      <c r="A145" s="10" t="s">
        <v>78</v>
      </c>
      <c r="B145" s="10" t="s">
        <v>78</v>
      </c>
      <c r="C145" s="10" t="s">
        <v>78</v>
      </c>
      <c r="D145" s="11" t="s">
        <v>78</v>
      </c>
      <c r="E145" s="11" t="s">
        <v>78</v>
      </c>
    </row>
    <row r="146" spans="1:5" ht="15">
      <c r="A146" s="10" t="s">
        <v>78</v>
      </c>
      <c r="B146" s="10" t="s">
        <v>78</v>
      </c>
      <c r="C146" s="10" t="s">
        <v>78</v>
      </c>
      <c r="D146" s="11" t="s">
        <v>78</v>
      </c>
      <c r="E146" s="11" t="s">
        <v>78</v>
      </c>
    </row>
    <row r="147" spans="1:5" ht="15">
      <c r="A147" s="10" t="s">
        <v>78</v>
      </c>
      <c r="B147" s="10" t="s">
        <v>78</v>
      </c>
      <c r="C147" s="10" t="s">
        <v>78</v>
      </c>
      <c r="D147" s="11" t="s">
        <v>78</v>
      </c>
      <c r="E147" s="11" t="s">
        <v>78</v>
      </c>
    </row>
    <row r="148" spans="1:5" ht="15">
      <c r="A148" s="10" t="s">
        <v>78</v>
      </c>
      <c r="B148" s="10" t="s">
        <v>78</v>
      </c>
      <c r="C148" s="10" t="s">
        <v>78</v>
      </c>
      <c r="D148" s="11" t="s">
        <v>78</v>
      </c>
      <c r="E148" s="11" t="s">
        <v>78</v>
      </c>
    </row>
    <row r="149" spans="1:5" ht="15">
      <c r="A149" s="10" t="s">
        <v>78</v>
      </c>
      <c r="B149" s="10" t="s">
        <v>78</v>
      </c>
      <c r="C149" s="10" t="s">
        <v>78</v>
      </c>
      <c r="D149" s="11" t="s">
        <v>78</v>
      </c>
      <c r="E149" s="11" t="s">
        <v>78</v>
      </c>
    </row>
    <row r="150" spans="1:5" ht="15">
      <c r="A150" s="10" t="s">
        <v>78</v>
      </c>
      <c r="B150" s="10" t="s">
        <v>78</v>
      </c>
      <c r="C150" s="10" t="s">
        <v>78</v>
      </c>
      <c r="D150" s="11" t="s">
        <v>78</v>
      </c>
      <c r="E150" s="11" t="s">
        <v>78</v>
      </c>
    </row>
    <row r="151" spans="1:5" ht="15">
      <c r="A151" s="10" t="s">
        <v>78</v>
      </c>
      <c r="B151" s="10" t="s">
        <v>78</v>
      </c>
      <c r="C151" s="10" t="s">
        <v>78</v>
      </c>
      <c r="D151" s="11" t="s">
        <v>78</v>
      </c>
      <c r="E151" s="11" t="s">
        <v>78</v>
      </c>
    </row>
    <row r="152" spans="1:5" ht="15">
      <c r="A152" s="10" t="s">
        <v>78</v>
      </c>
      <c r="B152" s="10" t="s">
        <v>78</v>
      </c>
      <c r="C152" s="10" t="s">
        <v>78</v>
      </c>
      <c r="D152" s="11" t="s">
        <v>78</v>
      </c>
      <c r="E152" s="11" t="s">
        <v>78</v>
      </c>
    </row>
    <row r="153" spans="1:5" ht="15">
      <c r="A153" s="10" t="s">
        <v>78</v>
      </c>
      <c r="B153" s="10" t="s">
        <v>78</v>
      </c>
      <c r="C153" s="10" t="s">
        <v>78</v>
      </c>
      <c r="D153" s="11" t="s">
        <v>78</v>
      </c>
      <c r="E153" s="11" t="s">
        <v>78</v>
      </c>
    </row>
    <row r="154" spans="1:6" ht="15">
      <c r="A154" s="10" t="s">
        <v>78</v>
      </c>
      <c r="B154" s="10" t="s">
        <v>78</v>
      </c>
      <c r="C154" s="10" t="s">
        <v>78</v>
      </c>
      <c r="D154" s="11" t="s">
        <v>78</v>
      </c>
      <c r="E154" s="11" t="s">
        <v>78</v>
      </c>
      <c r="F154" s="13"/>
    </row>
    <row r="155" spans="1:5" ht="15">
      <c r="A155" s="10" t="s">
        <v>78</v>
      </c>
      <c r="B155" s="10" t="s">
        <v>78</v>
      </c>
      <c r="C155" s="10" t="s">
        <v>78</v>
      </c>
      <c r="D155" s="11" t="s">
        <v>78</v>
      </c>
      <c r="E155" s="11" t="s">
        <v>78</v>
      </c>
    </row>
    <row r="156" spans="1:5" ht="15">
      <c r="A156" s="10" t="s">
        <v>78</v>
      </c>
      <c r="B156" s="10" t="s">
        <v>78</v>
      </c>
      <c r="C156" s="10" t="s">
        <v>78</v>
      </c>
      <c r="D156" s="11" t="s">
        <v>78</v>
      </c>
      <c r="E156" s="11" t="s">
        <v>78</v>
      </c>
    </row>
    <row r="157" spans="1:5" ht="15">
      <c r="A157" s="10" t="s">
        <v>78</v>
      </c>
      <c r="B157" s="10" t="s">
        <v>78</v>
      </c>
      <c r="C157" s="10" t="s">
        <v>78</v>
      </c>
      <c r="D157" s="11" t="s">
        <v>78</v>
      </c>
      <c r="E157" s="11" t="s">
        <v>78</v>
      </c>
    </row>
    <row r="158" spans="1:5" ht="15">
      <c r="A158" s="10" t="s">
        <v>78</v>
      </c>
      <c r="B158" s="10" t="s">
        <v>78</v>
      </c>
      <c r="C158" s="10" t="s">
        <v>78</v>
      </c>
      <c r="D158" s="11" t="s">
        <v>78</v>
      </c>
      <c r="E158" s="11" t="s">
        <v>78</v>
      </c>
    </row>
    <row r="159" spans="1:5" ht="15">
      <c r="A159" s="10" t="s">
        <v>78</v>
      </c>
      <c r="B159" s="10" t="s">
        <v>78</v>
      </c>
      <c r="C159" s="10" t="s">
        <v>78</v>
      </c>
      <c r="D159" s="11" t="s">
        <v>78</v>
      </c>
      <c r="E159" s="11" t="s">
        <v>78</v>
      </c>
    </row>
    <row r="160" spans="1:5" ht="15">
      <c r="A160" s="10" t="s">
        <v>78</v>
      </c>
      <c r="B160" s="10" t="s">
        <v>78</v>
      </c>
      <c r="C160" s="10" t="s">
        <v>78</v>
      </c>
      <c r="D160" s="11" t="s">
        <v>78</v>
      </c>
      <c r="E160" s="11" t="s">
        <v>78</v>
      </c>
    </row>
    <row r="161" spans="1:5" ht="15">
      <c r="A161" s="10" t="s">
        <v>78</v>
      </c>
      <c r="B161" s="10" t="s">
        <v>78</v>
      </c>
      <c r="C161" s="10" t="s">
        <v>78</v>
      </c>
      <c r="D161" s="11" t="s">
        <v>78</v>
      </c>
      <c r="E161" s="11" t="s">
        <v>78</v>
      </c>
    </row>
    <row r="162" spans="1:5" ht="15">
      <c r="A162" s="10" t="s">
        <v>78</v>
      </c>
      <c r="B162" s="10" t="s">
        <v>78</v>
      </c>
      <c r="C162" s="10" t="s">
        <v>78</v>
      </c>
      <c r="D162" s="11" t="s">
        <v>78</v>
      </c>
      <c r="E162" s="11" t="s">
        <v>78</v>
      </c>
    </row>
    <row r="163" spans="1:5" ht="15">
      <c r="A163" s="10" t="s">
        <v>78</v>
      </c>
      <c r="B163" s="10" t="s">
        <v>78</v>
      </c>
      <c r="C163" s="10" t="s">
        <v>78</v>
      </c>
      <c r="D163" s="11" t="s">
        <v>78</v>
      </c>
      <c r="E163" s="11" t="s">
        <v>78</v>
      </c>
    </row>
    <row r="164" spans="1:5" ht="15">
      <c r="A164" s="10" t="s">
        <v>78</v>
      </c>
      <c r="B164" s="10" t="s">
        <v>78</v>
      </c>
      <c r="C164" s="10" t="s">
        <v>78</v>
      </c>
      <c r="D164" s="11" t="s">
        <v>78</v>
      </c>
      <c r="E164" s="11" t="s">
        <v>78</v>
      </c>
    </row>
    <row r="165" spans="1:5" ht="15">
      <c r="A165" s="10" t="s">
        <v>78</v>
      </c>
      <c r="B165" s="10" t="s">
        <v>78</v>
      </c>
      <c r="C165" s="10" t="s">
        <v>78</v>
      </c>
      <c r="D165" s="11" t="s">
        <v>78</v>
      </c>
      <c r="E165" s="11" t="s">
        <v>78</v>
      </c>
    </row>
    <row r="166" spans="1:5" ht="15">
      <c r="A166" s="10" t="s">
        <v>78</v>
      </c>
      <c r="B166" s="10" t="s">
        <v>78</v>
      </c>
      <c r="C166" s="10" t="s">
        <v>78</v>
      </c>
      <c r="D166" s="11" t="s">
        <v>78</v>
      </c>
      <c r="E166" s="11" t="s">
        <v>78</v>
      </c>
    </row>
    <row r="167" spans="1:5" ht="15">
      <c r="A167" s="10" t="s">
        <v>78</v>
      </c>
      <c r="B167" s="10" t="s">
        <v>78</v>
      </c>
      <c r="C167" s="10" t="s">
        <v>78</v>
      </c>
      <c r="D167" s="11" t="s">
        <v>78</v>
      </c>
      <c r="E167" s="11" t="s">
        <v>78</v>
      </c>
    </row>
    <row r="168" spans="1:5" ht="15">
      <c r="A168" s="10" t="s">
        <v>78</v>
      </c>
      <c r="B168" s="10" t="s">
        <v>78</v>
      </c>
      <c r="C168" s="10" t="s">
        <v>78</v>
      </c>
      <c r="D168" s="11" t="s">
        <v>78</v>
      </c>
      <c r="E168" s="11" t="s">
        <v>78</v>
      </c>
    </row>
    <row r="169" spans="1:5" ht="15">
      <c r="A169" s="10" t="s">
        <v>78</v>
      </c>
      <c r="B169" s="10" t="s">
        <v>78</v>
      </c>
      <c r="C169" s="10" t="s">
        <v>78</v>
      </c>
      <c r="D169" s="11" t="s">
        <v>78</v>
      </c>
      <c r="E169" s="11" t="s">
        <v>78</v>
      </c>
    </row>
    <row r="170" spans="1:5" ht="15">
      <c r="A170" s="10" t="s">
        <v>78</v>
      </c>
      <c r="B170" s="10" t="s">
        <v>78</v>
      </c>
      <c r="C170" s="10" t="s">
        <v>78</v>
      </c>
      <c r="D170" s="11" t="s">
        <v>78</v>
      </c>
      <c r="E170" s="11" t="s">
        <v>78</v>
      </c>
    </row>
    <row r="171" spans="1:5" ht="15">
      <c r="A171" s="10" t="s">
        <v>78</v>
      </c>
      <c r="B171" s="10" t="s">
        <v>78</v>
      </c>
      <c r="C171" s="10" t="s">
        <v>78</v>
      </c>
      <c r="D171" s="11" t="s">
        <v>78</v>
      </c>
      <c r="E171" s="11" t="s">
        <v>78</v>
      </c>
    </row>
    <row r="172" spans="1:5" ht="15">
      <c r="A172" s="10" t="s">
        <v>78</v>
      </c>
      <c r="B172" s="10" t="s">
        <v>78</v>
      </c>
      <c r="C172" s="10" t="s">
        <v>78</v>
      </c>
      <c r="D172" s="11" t="s">
        <v>78</v>
      </c>
      <c r="E172" s="11" t="s">
        <v>78</v>
      </c>
    </row>
    <row r="173" spans="1:5" ht="15">
      <c r="A173" s="10" t="s">
        <v>78</v>
      </c>
      <c r="B173" s="10" t="s">
        <v>78</v>
      </c>
      <c r="C173" s="10" t="s">
        <v>78</v>
      </c>
      <c r="D173" s="11" t="s">
        <v>78</v>
      </c>
      <c r="E173" s="11" t="s">
        <v>78</v>
      </c>
    </row>
    <row r="174" spans="1:5" ht="15">
      <c r="A174" s="10" t="s">
        <v>78</v>
      </c>
      <c r="B174" s="10" t="s">
        <v>78</v>
      </c>
      <c r="C174" s="10" t="s">
        <v>78</v>
      </c>
      <c r="D174" s="11" t="s">
        <v>78</v>
      </c>
      <c r="E174" s="11" t="s">
        <v>78</v>
      </c>
    </row>
    <row r="175" spans="1:5" ht="15">
      <c r="A175" s="10" t="s">
        <v>78</v>
      </c>
      <c r="B175" s="10" t="s">
        <v>78</v>
      </c>
      <c r="C175" s="10" t="s">
        <v>78</v>
      </c>
      <c r="D175" s="11" t="s">
        <v>78</v>
      </c>
      <c r="E175" s="11" t="s">
        <v>78</v>
      </c>
    </row>
    <row r="176" spans="1:5" ht="15">
      <c r="A176" s="10" t="s">
        <v>78</v>
      </c>
      <c r="B176" s="10" t="s">
        <v>78</v>
      </c>
      <c r="C176" s="10" t="s">
        <v>78</v>
      </c>
      <c r="D176" s="11" t="s">
        <v>78</v>
      </c>
      <c r="E176" s="11" t="s">
        <v>78</v>
      </c>
    </row>
    <row r="177" spans="1:5" ht="15">
      <c r="A177" s="10" t="s">
        <v>78</v>
      </c>
      <c r="B177" s="10" t="s">
        <v>78</v>
      </c>
      <c r="C177" s="10" t="s">
        <v>78</v>
      </c>
      <c r="D177" s="11" t="s">
        <v>78</v>
      </c>
      <c r="E177" s="11" t="s">
        <v>78</v>
      </c>
    </row>
    <row r="178" spans="1:5" ht="15">
      <c r="A178" s="10" t="s">
        <v>78</v>
      </c>
      <c r="B178" s="10" t="s">
        <v>78</v>
      </c>
      <c r="C178" s="10" t="s">
        <v>78</v>
      </c>
      <c r="D178" s="11" t="s">
        <v>78</v>
      </c>
      <c r="E178" s="11" t="s">
        <v>78</v>
      </c>
    </row>
    <row r="179" spans="1:5" ht="15">
      <c r="A179" s="10" t="s">
        <v>78</v>
      </c>
      <c r="B179" s="10" t="s">
        <v>78</v>
      </c>
      <c r="C179" s="10" t="s">
        <v>78</v>
      </c>
      <c r="D179" s="11" t="s">
        <v>78</v>
      </c>
      <c r="E179" s="11" t="s">
        <v>78</v>
      </c>
    </row>
    <row r="180" spans="1:5" ht="15">
      <c r="A180" s="10" t="s">
        <v>78</v>
      </c>
      <c r="B180" s="10" t="s">
        <v>78</v>
      </c>
      <c r="C180" s="10" t="s">
        <v>78</v>
      </c>
      <c r="D180" s="11" t="s">
        <v>78</v>
      </c>
      <c r="E180" s="11" t="s">
        <v>78</v>
      </c>
    </row>
    <row r="181" spans="1:5" ht="15">
      <c r="A181" s="10" t="s">
        <v>78</v>
      </c>
      <c r="B181" s="10" t="s">
        <v>78</v>
      </c>
      <c r="C181" s="10" t="s">
        <v>78</v>
      </c>
      <c r="D181" s="11" t="s">
        <v>78</v>
      </c>
      <c r="E181" s="11" t="s">
        <v>78</v>
      </c>
    </row>
    <row r="182" spans="1:5" ht="15">
      <c r="A182" s="10" t="s">
        <v>78</v>
      </c>
      <c r="B182" s="16" t="s">
        <v>78</v>
      </c>
      <c r="C182" s="16" t="s">
        <v>78</v>
      </c>
      <c r="D182" s="17" t="s">
        <v>78</v>
      </c>
      <c r="E182" s="11" t="s">
        <v>78</v>
      </c>
    </row>
    <row r="183" spans="1:5" ht="15">
      <c r="A183" s="10" t="s">
        <v>78</v>
      </c>
      <c r="B183" s="10" t="s">
        <v>78</v>
      </c>
      <c r="C183" s="10" t="s">
        <v>78</v>
      </c>
      <c r="D183" s="11" t="s">
        <v>78</v>
      </c>
      <c r="E183" s="11" t="s">
        <v>78</v>
      </c>
    </row>
    <row r="184" spans="1:5" ht="15">
      <c r="A184" s="10" t="s">
        <v>78</v>
      </c>
      <c r="B184" s="10" t="s">
        <v>78</v>
      </c>
      <c r="C184" s="10" t="s">
        <v>78</v>
      </c>
      <c r="D184" s="11" t="s">
        <v>78</v>
      </c>
      <c r="E184" s="11" t="s">
        <v>78</v>
      </c>
    </row>
    <row r="185" spans="1:5" ht="15">
      <c r="A185" s="10" t="s">
        <v>78</v>
      </c>
      <c r="B185" s="10" t="s">
        <v>78</v>
      </c>
      <c r="C185" s="10" t="s">
        <v>78</v>
      </c>
      <c r="D185" s="11" t="s">
        <v>78</v>
      </c>
      <c r="E185" s="11" t="s">
        <v>78</v>
      </c>
    </row>
    <row r="186" spans="1:5" ht="15">
      <c r="A186" s="10" t="s">
        <v>78</v>
      </c>
      <c r="B186" s="10" t="s">
        <v>78</v>
      </c>
      <c r="C186" s="10" t="s">
        <v>78</v>
      </c>
      <c r="D186" s="11" t="s">
        <v>78</v>
      </c>
      <c r="E186" s="11" t="s">
        <v>78</v>
      </c>
    </row>
    <row r="187" spans="1:5" ht="15">
      <c r="A187" s="10" t="s">
        <v>78</v>
      </c>
      <c r="B187" s="10" t="s">
        <v>78</v>
      </c>
      <c r="C187" s="10" t="s">
        <v>78</v>
      </c>
      <c r="D187" s="11" t="s">
        <v>78</v>
      </c>
      <c r="E187" s="11" t="s">
        <v>78</v>
      </c>
    </row>
    <row r="188" spans="1:5" ht="15">
      <c r="A188" s="10" t="s">
        <v>78</v>
      </c>
      <c r="B188" s="10" t="s">
        <v>78</v>
      </c>
      <c r="C188" s="10" t="s">
        <v>78</v>
      </c>
      <c r="D188" s="11" t="s">
        <v>78</v>
      </c>
      <c r="E188" s="11" t="s">
        <v>78</v>
      </c>
    </row>
    <row r="189" spans="1:5" ht="15">
      <c r="A189" s="10" t="s">
        <v>78</v>
      </c>
      <c r="B189" s="10" t="s">
        <v>78</v>
      </c>
      <c r="C189" s="10" t="s">
        <v>78</v>
      </c>
      <c r="D189" s="11" t="s">
        <v>78</v>
      </c>
      <c r="E189" s="11" t="s">
        <v>78</v>
      </c>
    </row>
    <row r="190" spans="1:5" ht="15">
      <c r="A190" s="10" t="s">
        <v>78</v>
      </c>
      <c r="B190" s="10" t="s">
        <v>78</v>
      </c>
      <c r="C190" s="10" t="s">
        <v>78</v>
      </c>
      <c r="D190" s="11" t="s">
        <v>78</v>
      </c>
      <c r="E190" s="11" t="s">
        <v>78</v>
      </c>
    </row>
    <row r="191" spans="1:5" ht="15">
      <c r="A191" s="10" t="s">
        <v>78</v>
      </c>
      <c r="B191" s="10" t="s">
        <v>78</v>
      </c>
      <c r="C191" s="10" t="s">
        <v>78</v>
      </c>
      <c r="D191" s="11" t="s">
        <v>78</v>
      </c>
      <c r="E191" s="11" t="s">
        <v>78</v>
      </c>
    </row>
    <row r="192" spans="1:5" ht="15">
      <c r="A192" s="10" t="s">
        <v>78</v>
      </c>
      <c r="B192" s="10" t="s">
        <v>78</v>
      </c>
      <c r="C192" s="10" t="s">
        <v>78</v>
      </c>
      <c r="D192" s="11" t="s">
        <v>78</v>
      </c>
      <c r="E192" s="11" t="s">
        <v>78</v>
      </c>
    </row>
    <row r="193" spans="1:5" ht="15">
      <c r="A193" s="10" t="s">
        <v>78</v>
      </c>
      <c r="B193" s="10" t="s">
        <v>78</v>
      </c>
      <c r="C193" s="10" t="s">
        <v>78</v>
      </c>
      <c r="D193" s="11" t="s">
        <v>78</v>
      </c>
      <c r="E193" s="11" t="s">
        <v>78</v>
      </c>
    </row>
    <row r="194" spans="1:5" ht="15">
      <c r="A194" s="10" t="s">
        <v>78</v>
      </c>
      <c r="B194" s="10" t="s">
        <v>78</v>
      </c>
      <c r="C194" s="10" t="s">
        <v>78</v>
      </c>
      <c r="D194" s="11" t="s">
        <v>78</v>
      </c>
      <c r="E194" s="11" t="s">
        <v>78</v>
      </c>
    </row>
    <row r="195" spans="1:5" ht="15">
      <c r="A195" s="10" t="s">
        <v>78</v>
      </c>
      <c r="B195" s="10" t="s">
        <v>78</v>
      </c>
      <c r="C195" s="10" t="s">
        <v>78</v>
      </c>
      <c r="D195" s="11" t="s">
        <v>78</v>
      </c>
      <c r="E195" s="11" t="s">
        <v>78</v>
      </c>
    </row>
    <row r="196" spans="1:5" ht="15">
      <c r="A196" s="10" t="s">
        <v>78</v>
      </c>
      <c r="B196" s="10" t="s">
        <v>78</v>
      </c>
      <c r="C196" s="10" t="s">
        <v>78</v>
      </c>
      <c r="D196" s="11" t="s">
        <v>78</v>
      </c>
      <c r="E196" s="11" t="s">
        <v>78</v>
      </c>
    </row>
    <row r="197" spans="1:5" ht="15">
      <c r="A197" s="10" t="s">
        <v>78</v>
      </c>
      <c r="B197" s="10" t="s">
        <v>78</v>
      </c>
      <c r="C197" s="10" t="s">
        <v>78</v>
      </c>
      <c r="D197" s="11" t="s">
        <v>78</v>
      </c>
      <c r="E197" s="11" t="s">
        <v>78</v>
      </c>
    </row>
    <row r="198" spans="1:5" ht="15">
      <c r="A198" s="10" t="s">
        <v>78</v>
      </c>
      <c r="B198" s="10" t="s">
        <v>78</v>
      </c>
      <c r="C198" s="10" t="s">
        <v>78</v>
      </c>
      <c r="D198" s="11" t="s">
        <v>78</v>
      </c>
      <c r="E198" s="11" t="s">
        <v>78</v>
      </c>
    </row>
    <row r="199" spans="1:5" ht="15">
      <c r="A199" s="10" t="s">
        <v>78</v>
      </c>
      <c r="B199" s="10" t="s">
        <v>78</v>
      </c>
      <c r="C199" s="10" t="s">
        <v>78</v>
      </c>
      <c r="D199" s="11" t="s">
        <v>78</v>
      </c>
      <c r="E199" s="11" t="s">
        <v>78</v>
      </c>
    </row>
    <row r="200" spans="1:5" ht="15">
      <c r="A200" s="10" t="s">
        <v>78</v>
      </c>
      <c r="B200" s="10" t="s">
        <v>78</v>
      </c>
      <c r="C200" s="10" t="s">
        <v>78</v>
      </c>
      <c r="D200" s="11" t="s">
        <v>78</v>
      </c>
      <c r="E200" s="11" t="s">
        <v>78</v>
      </c>
    </row>
    <row r="201" spans="1:5" ht="15">
      <c r="A201" s="10" t="s">
        <v>78</v>
      </c>
      <c r="B201" s="10" t="s">
        <v>78</v>
      </c>
      <c r="C201" s="10" t="s">
        <v>78</v>
      </c>
      <c r="D201" s="11" t="s">
        <v>78</v>
      </c>
      <c r="E201" s="11" t="s">
        <v>78</v>
      </c>
    </row>
    <row r="202" spans="1:5" ht="15">
      <c r="A202" s="10" t="s">
        <v>78</v>
      </c>
      <c r="B202" s="10" t="s">
        <v>78</v>
      </c>
      <c r="C202" s="10" t="s">
        <v>78</v>
      </c>
      <c r="D202" s="11" t="s">
        <v>78</v>
      </c>
      <c r="E202" s="11" t="s">
        <v>78</v>
      </c>
    </row>
    <row r="203" spans="1:5" ht="15">
      <c r="A203" s="10" t="s">
        <v>78</v>
      </c>
      <c r="B203" s="10" t="s">
        <v>78</v>
      </c>
      <c r="C203" s="10" t="s">
        <v>78</v>
      </c>
      <c r="D203" s="11" t="s">
        <v>78</v>
      </c>
      <c r="E203" s="11" t="s">
        <v>78</v>
      </c>
    </row>
    <row r="204" spans="1:5" ht="15">
      <c r="A204" s="10" t="s">
        <v>78</v>
      </c>
      <c r="B204" s="10" t="s">
        <v>78</v>
      </c>
      <c r="C204" s="10" t="s">
        <v>78</v>
      </c>
      <c r="D204" s="11" t="s">
        <v>78</v>
      </c>
      <c r="E204" s="11" t="s">
        <v>78</v>
      </c>
    </row>
    <row r="205" spans="1:5" ht="15">
      <c r="A205" s="10" t="s">
        <v>78</v>
      </c>
      <c r="B205" s="10" t="s">
        <v>78</v>
      </c>
      <c r="C205" s="10" t="s">
        <v>78</v>
      </c>
      <c r="D205" s="11" t="s">
        <v>78</v>
      </c>
      <c r="E205" s="11" t="s">
        <v>78</v>
      </c>
    </row>
    <row r="206" spans="1:5" ht="15">
      <c r="A206" s="10" t="s">
        <v>78</v>
      </c>
      <c r="B206" s="10" t="s">
        <v>78</v>
      </c>
      <c r="C206" s="10" t="s">
        <v>78</v>
      </c>
      <c r="D206" s="11" t="s">
        <v>78</v>
      </c>
      <c r="E206" s="11" t="s">
        <v>78</v>
      </c>
    </row>
    <row r="207" spans="1:5" ht="15">
      <c r="A207" s="10" t="s">
        <v>78</v>
      </c>
      <c r="B207" s="10" t="s">
        <v>78</v>
      </c>
      <c r="C207" s="10" t="s">
        <v>78</v>
      </c>
      <c r="D207" s="11" t="s">
        <v>78</v>
      </c>
      <c r="E207" s="11" t="s">
        <v>78</v>
      </c>
    </row>
    <row r="208" spans="1:5" ht="15">
      <c r="A208" s="10" t="s">
        <v>78</v>
      </c>
      <c r="B208" s="10" t="s">
        <v>78</v>
      </c>
      <c r="C208" s="10" t="s">
        <v>78</v>
      </c>
      <c r="D208" s="11" t="s">
        <v>78</v>
      </c>
      <c r="E208" s="11" t="s">
        <v>78</v>
      </c>
    </row>
    <row r="209" spans="1:5" ht="15">
      <c r="A209" s="10" t="s">
        <v>78</v>
      </c>
      <c r="B209" s="10" t="s">
        <v>78</v>
      </c>
      <c r="C209" s="10" t="s">
        <v>78</v>
      </c>
      <c r="D209" s="11" t="s">
        <v>78</v>
      </c>
      <c r="E209" s="11" t="s">
        <v>78</v>
      </c>
    </row>
    <row r="210" spans="1:5" ht="15">
      <c r="A210" s="10" t="s">
        <v>78</v>
      </c>
      <c r="B210" s="10" t="s">
        <v>78</v>
      </c>
      <c r="C210" s="10" t="s">
        <v>78</v>
      </c>
      <c r="D210" s="11" t="s">
        <v>78</v>
      </c>
      <c r="E210" s="11" t="s">
        <v>78</v>
      </c>
    </row>
    <row r="211" spans="1:5" ht="15">
      <c r="A211" s="10" t="s">
        <v>78</v>
      </c>
      <c r="B211" s="10" t="s">
        <v>78</v>
      </c>
      <c r="C211" s="10" t="s">
        <v>78</v>
      </c>
      <c r="D211" s="11" t="s">
        <v>78</v>
      </c>
      <c r="E211" s="11" t="s">
        <v>78</v>
      </c>
    </row>
    <row r="212" spans="1:5" ht="15">
      <c r="A212" s="10" t="s">
        <v>78</v>
      </c>
      <c r="B212" s="10" t="s">
        <v>78</v>
      </c>
      <c r="C212" s="10" t="s">
        <v>78</v>
      </c>
      <c r="D212" s="11" t="s">
        <v>78</v>
      </c>
      <c r="E212" s="11" t="s">
        <v>78</v>
      </c>
    </row>
    <row r="213" spans="1:5" ht="15">
      <c r="A213" s="10" t="s">
        <v>78</v>
      </c>
      <c r="B213" s="10" t="s">
        <v>78</v>
      </c>
      <c r="C213" s="10" t="s">
        <v>78</v>
      </c>
      <c r="D213" s="11" t="s">
        <v>78</v>
      </c>
      <c r="E213" s="11" t="s">
        <v>78</v>
      </c>
    </row>
    <row r="214" spans="1:5" ht="15">
      <c r="A214" s="10" t="s">
        <v>78</v>
      </c>
      <c r="B214" s="10" t="s">
        <v>78</v>
      </c>
      <c r="C214" s="10" t="s">
        <v>78</v>
      </c>
      <c r="D214" s="11" t="s">
        <v>78</v>
      </c>
      <c r="E214" s="11" t="s">
        <v>78</v>
      </c>
    </row>
    <row r="215" spans="1:5" ht="15">
      <c r="A215" s="10" t="s">
        <v>78</v>
      </c>
      <c r="B215" s="10" t="s">
        <v>78</v>
      </c>
      <c r="C215" s="10" t="s">
        <v>78</v>
      </c>
      <c r="D215" s="11" t="s">
        <v>78</v>
      </c>
      <c r="E215" s="11" t="s">
        <v>78</v>
      </c>
    </row>
    <row r="216" spans="1:5" ht="15">
      <c r="A216" s="10" t="s">
        <v>78</v>
      </c>
      <c r="B216" s="10" t="s">
        <v>78</v>
      </c>
      <c r="C216" s="10" t="s">
        <v>78</v>
      </c>
      <c r="D216" s="11" t="s">
        <v>78</v>
      </c>
      <c r="E216" s="11" t="s">
        <v>78</v>
      </c>
    </row>
    <row r="217" spans="1:5" ht="15">
      <c r="A217" s="10" t="s">
        <v>78</v>
      </c>
      <c r="B217" s="10" t="s">
        <v>78</v>
      </c>
      <c r="C217" s="10" t="s">
        <v>78</v>
      </c>
      <c r="D217" s="11" t="s">
        <v>78</v>
      </c>
      <c r="E217" s="11" t="s">
        <v>78</v>
      </c>
    </row>
    <row r="218" spans="1:5" ht="15">
      <c r="A218" s="10" t="s">
        <v>78</v>
      </c>
      <c r="B218" s="10" t="s">
        <v>78</v>
      </c>
      <c r="C218" s="10" t="s">
        <v>78</v>
      </c>
      <c r="D218" s="11" t="s">
        <v>78</v>
      </c>
      <c r="E218" s="11" t="s">
        <v>78</v>
      </c>
    </row>
    <row r="219" spans="1:5" ht="15">
      <c r="A219" s="10" t="s">
        <v>78</v>
      </c>
      <c r="B219" s="10" t="s">
        <v>78</v>
      </c>
      <c r="C219" s="10" t="s">
        <v>78</v>
      </c>
      <c r="D219" s="11" t="s">
        <v>78</v>
      </c>
      <c r="E219" s="11" t="s">
        <v>78</v>
      </c>
    </row>
    <row r="220" spans="1:5" ht="15">
      <c r="A220" s="10" t="s">
        <v>78</v>
      </c>
      <c r="B220" s="10" t="s">
        <v>78</v>
      </c>
      <c r="C220" s="10" t="s">
        <v>78</v>
      </c>
      <c r="D220" s="11" t="s">
        <v>78</v>
      </c>
      <c r="E220" s="11" t="s">
        <v>78</v>
      </c>
    </row>
    <row r="221" spans="1:5" ht="15">
      <c r="A221" s="10" t="s">
        <v>78</v>
      </c>
      <c r="B221" s="10" t="s">
        <v>78</v>
      </c>
      <c r="C221" s="10" t="s">
        <v>78</v>
      </c>
      <c r="D221" s="11" t="s">
        <v>78</v>
      </c>
      <c r="E221" s="11" t="s">
        <v>78</v>
      </c>
    </row>
    <row r="222" spans="1:5" ht="15">
      <c r="A222" s="10" t="s">
        <v>78</v>
      </c>
      <c r="B222" s="10" t="s">
        <v>78</v>
      </c>
      <c r="C222" s="10" t="s">
        <v>78</v>
      </c>
      <c r="D222" s="11" t="s">
        <v>78</v>
      </c>
      <c r="E222" s="11" t="s">
        <v>78</v>
      </c>
    </row>
    <row r="223" spans="1:5" ht="15">
      <c r="A223" s="10" t="s">
        <v>78</v>
      </c>
      <c r="B223" s="10" t="s">
        <v>78</v>
      </c>
      <c r="C223" s="10" t="s">
        <v>78</v>
      </c>
      <c r="D223" s="11" t="s">
        <v>78</v>
      </c>
      <c r="E223" s="11" t="s">
        <v>78</v>
      </c>
    </row>
    <row r="224" spans="1:5" ht="15">
      <c r="A224" s="10" t="s">
        <v>78</v>
      </c>
      <c r="B224" s="10" t="s">
        <v>78</v>
      </c>
      <c r="C224" s="10" t="s">
        <v>78</v>
      </c>
      <c r="D224" s="11" t="s">
        <v>78</v>
      </c>
      <c r="E224" s="11" t="s">
        <v>78</v>
      </c>
    </row>
    <row r="225" spans="1:5" ht="15">
      <c r="A225" s="10" t="s">
        <v>78</v>
      </c>
      <c r="B225" s="10" t="s">
        <v>78</v>
      </c>
      <c r="C225" s="10" t="s">
        <v>78</v>
      </c>
      <c r="D225" s="11" t="s">
        <v>78</v>
      </c>
      <c r="E225" s="11" t="s">
        <v>78</v>
      </c>
    </row>
    <row r="226" spans="1:5" ht="15">
      <c r="A226" s="10" t="s">
        <v>78</v>
      </c>
      <c r="B226" s="10" t="s">
        <v>78</v>
      </c>
      <c r="C226" s="10" t="s">
        <v>78</v>
      </c>
      <c r="D226" s="11" t="s">
        <v>78</v>
      </c>
      <c r="E226" s="11" t="s">
        <v>78</v>
      </c>
    </row>
    <row r="227" spans="1:5" ht="15">
      <c r="A227" s="10" t="s">
        <v>78</v>
      </c>
      <c r="B227" s="10" t="s">
        <v>78</v>
      </c>
      <c r="C227" s="10" t="s">
        <v>78</v>
      </c>
      <c r="D227" s="11" t="s">
        <v>78</v>
      </c>
      <c r="E227" s="11" t="s">
        <v>78</v>
      </c>
    </row>
    <row r="228" spans="1:5" ht="15">
      <c r="A228" s="10" t="s">
        <v>78</v>
      </c>
      <c r="B228" s="10" t="s">
        <v>78</v>
      </c>
      <c r="C228" s="10" t="s">
        <v>78</v>
      </c>
      <c r="D228" s="11" t="s">
        <v>78</v>
      </c>
      <c r="E228" s="11" t="s">
        <v>78</v>
      </c>
    </row>
    <row r="229" spans="1:5" ht="15">
      <c r="A229" s="10" t="s">
        <v>78</v>
      </c>
      <c r="B229" s="10" t="s">
        <v>78</v>
      </c>
      <c r="C229" s="10" t="s">
        <v>78</v>
      </c>
      <c r="D229" s="11" t="s">
        <v>78</v>
      </c>
      <c r="E229" s="11" t="s">
        <v>78</v>
      </c>
    </row>
    <row r="230" spans="1:5" ht="15">
      <c r="A230" s="10" t="s">
        <v>78</v>
      </c>
      <c r="B230" s="10" t="s">
        <v>78</v>
      </c>
      <c r="C230" s="10" t="s">
        <v>78</v>
      </c>
      <c r="D230" s="11" t="s">
        <v>78</v>
      </c>
      <c r="E230" s="11" t="s">
        <v>78</v>
      </c>
    </row>
    <row r="231" spans="1:5" ht="15">
      <c r="A231" s="10" t="s">
        <v>78</v>
      </c>
      <c r="B231" s="10" t="s">
        <v>78</v>
      </c>
      <c r="C231" s="10" t="s">
        <v>78</v>
      </c>
      <c r="D231" s="11" t="s">
        <v>78</v>
      </c>
      <c r="E231" s="11" t="s">
        <v>78</v>
      </c>
    </row>
    <row r="232" spans="1:5" ht="15">
      <c r="A232" s="10" t="s">
        <v>78</v>
      </c>
      <c r="B232" s="10" t="s">
        <v>78</v>
      </c>
      <c r="C232" s="10" t="s">
        <v>78</v>
      </c>
      <c r="D232" s="11" t="s">
        <v>78</v>
      </c>
      <c r="E232" s="11" t="s">
        <v>78</v>
      </c>
    </row>
    <row r="233" spans="1:5" ht="15">
      <c r="A233" s="10" t="s">
        <v>78</v>
      </c>
      <c r="B233" s="10" t="s">
        <v>78</v>
      </c>
      <c r="C233" s="10" t="s">
        <v>78</v>
      </c>
      <c r="D233" s="11" t="s">
        <v>78</v>
      </c>
      <c r="E233" s="11" t="s">
        <v>78</v>
      </c>
    </row>
    <row r="234" spans="1:5" ht="15">
      <c r="A234" s="10" t="s">
        <v>78</v>
      </c>
      <c r="B234" s="10" t="s">
        <v>78</v>
      </c>
      <c r="C234" s="10" t="s">
        <v>78</v>
      </c>
      <c r="D234" s="11" t="s">
        <v>78</v>
      </c>
      <c r="E234" s="11" t="s">
        <v>78</v>
      </c>
    </row>
    <row r="235" spans="1:5" ht="15">
      <c r="A235" s="10" t="s">
        <v>78</v>
      </c>
      <c r="B235" s="10" t="s">
        <v>78</v>
      </c>
      <c r="C235" s="10" t="s">
        <v>78</v>
      </c>
      <c r="D235" s="11" t="s">
        <v>78</v>
      </c>
      <c r="E235" s="11" t="s">
        <v>78</v>
      </c>
    </row>
    <row r="236" spans="1:5" ht="15">
      <c r="A236" s="10" t="s">
        <v>78</v>
      </c>
      <c r="B236" s="10" t="s">
        <v>78</v>
      </c>
      <c r="C236" s="10" t="s">
        <v>78</v>
      </c>
      <c r="D236" s="11" t="s">
        <v>78</v>
      </c>
      <c r="E236" s="11" t="s">
        <v>78</v>
      </c>
    </row>
    <row r="237" spans="1:5" ht="15">
      <c r="A237" s="10" t="s">
        <v>78</v>
      </c>
      <c r="B237" s="10" t="s">
        <v>78</v>
      </c>
      <c r="C237" s="10" t="s">
        <v>78</v>
      </c>
      <c r="D237" s="11" t="s">
        <v>78</v>
      </c>
      <c r="E237" s="11" t="s">
        <v>78</v>
      </c>
    </row>
    <row r="238" spans="1:5" ht="15">
      <c r="A238" s="10" t="s">
        <v>78</v>
      </c>
      <c r="B238" s="10" t="s">
        <v>78</v>
      </c>
      <c r="C238" s="10" t="s">
        <v>78</v>
      </c>
      <c r="D238" s="11" t="s">
        <v>78</v>
      </c>
      <c r="E238" s="11" t="s">
        <v>78</v>
      </c>
    </row>
    <row r="239" spans="1:5" ht="15">
      <c r="A239" s="10" t="s">
        <v>78</v>
      </c>
      <c r="B239" s="10" t="s">
        <v>78</v>
      </c>
      <c r="C239" s="10" t="s">
        <v>78</v>
      </c>
      <c r="D239" s="11" t="s">
        <v>78</v>
      </c>
      <c r="E239" s="11" t="s">
        <v>78</v>
      </c>
    </row>
    <row r="240" spans="1:5" ht="15">
      <c r="A240" s="10" t="s">
        <v>78</v>
      </c>
      <c r="B240" s="10" t="s">
        <v>78</v>
      </c>
      <c r="C240" s="10" t="s">
        <v>78</v>
      </c>
      <c r="D240" s="11" t="s">
        <v>78</v>
      </c>
      <c r="E240" s="11" t="s">
        <v>78</v>
      </c>
    </row>
    <row r="241" spans="1:5" ht="15">
      <c r="A241" s="10" t="s">
        <v>78</v>
      </c>
      <c r="B241" s="10" t="s">
        <v>78</v>
      </c>
      <c r="C241" s="10" t="s">
        <v>78</v>
      </c>
      <c r="D241" s="11" t="s">
        <v>78</v>
      </c>
      <c r="E241" s="11" t="s">
        <v>78</v>
      </c>
    </row>
    <row r="242" spans="1:5" ht="15">
      <c r="A242" s="10" t="s">
        <v>78</v>
      </c>
      <c r="B242" s="10" t="s">
        <v>78</v>
      </c>
      <c r="C242" s="10" t="s">
        <v>78</v>
      </c>
      <c r="D242" s="11" t="s">
        <v>78</v>
      </c>
      <c r="E242" s="11" t="s">
        <v>78</v>
      </c>
    </row>
    <row r="243" spans="1:5" ht="15">
      <c r="A243" s="10" t="s">
        <v>78</v>
      </c>
      <c r="B243" s="10" t="s">
        <v>78</v>
      </c>
      <c r="C243" s="10" t="s">
        <v>78</v>
      </c>
      <c r="D243" s="11" t="s">
        <v>78</v>
      </c>
      <c r="E243" s="11" t="s">
        <v>78</v>
      </c>
    </row>
    <row r="244" spans="1:5" ht="15">
      <c r="A244" s="10" t="s">
        <v>78</v>
      </c>
      <c r="B244" s="10" t="s">
        <v>78</v>
      </c>
      <c r="C244" s="10" t="s">
        <v>78</v>
      </c>
      <c r="D244" s="11" t="s">
        <v>78</v>
      </c>
      <c r="E244" s="11" t="s">
        <v>78</v>
      </c>
    </row>
    <row r="245" spans="1:5" ht="15">
      <c r="A245" s="10" t="s">
        <v>78</v>
      </c>
      <c r="B245" s="10" t="s">
        <v>78</v>
      </c>
      <c r="C245" s="10" t="s">
        <v>78</v>
      </c>
      <c r="D245" s="11" t="s">
        <v>78</v>
      </c>
      <c r="E245" s="11" t="s">
        <v>78</v>
      </c>
    </row>
    <row r="246" spans="1:5" ht="15">
      <c r="A246" s="10" t="s">
        <v>78</v>
      </c>
      <c r="B246" s="10" t="s">
        <v>78</v>
      </c>
      <c r="C246" s="10" t="s">
        <v>78</v>
      </c>
      <c r="D246" s="11" t="s">
        <v>78</v>
      </c>
      <c r="E246" s="11" t="s">
        <v>78</v>
      </c>
    </row>
    <row r="247" spans="1:5" ht="15">
      <c r="A247" s="10" t="s">
        <v>78</v>
      </c>
      <c r="B247" s="10" t="s">
        <v>78</v>
      </c>
      <c r="C247" s="10" t="s">
        <v>78</v>
      </c>
      <c r="D247" s="11" t="s">
        <v>78</v>
      </c>
      <c r="E247" s="11" t="s">
        <v>78</v>
      </c>
    </row>
    <row r="248" spans="1:5" ht="15">
      <c r="A248" s="10" t="s">
        <v>78</v>
      </c>
      <c r="B248" s="10" t="s">
        <v>78</v>
      </c>
      <c r="C248" s="10" t="s">
        <v>78</v>
      </c>
      <c r="D248" s="11" t="s">
        <v>78</v>
      </c>
      <c r="E248" s="11" t="s">
        <v>78</v>
      </c>
    </row>
    <row r="249" spans="1:5" ht="15">
      <c r="A249" s="10" t="s">
        <v>78</v>
      </c>
      <c r="B249" s="10" t="s">
        <v>78</v>
      </c>
      <c r="C249" s="10" t="s">
        <v>78</v>
      </c>
      <c r="D249" s="11" t="s">
        <v>78</v>
      </c>
      <c r="E249" s="11" t="s">
        <v>78</v>
      </c>
    </row>
    <row r="250" spans="1:5" ht="15">
      <c r="A250" s="10" t="s">
        <v>78</v>
      </c>
      <c r="B250" s="10" t="s">
        <v>78</v>
      </c>
      <c r="C250" s="10" t="s">
        <v>78</v>
      </c>
      <c r="D250" s="11" t="s">
        <v>78</v>
      </c>
      <c r="E250" s="11" t="s">
        <v>78</v>
      </c>
    </row>
    <row r="251" spans="1:5" ht="15">
      <c r="A251" s="10" t="s">
        <v>78</v>
      </c>
      <c r="B251" s="10" t="s">
        <v>78</v>
      </c>
      <c r="C251" s="10" t="s">
        <v>78</v>
      </c>
      <c r="D251" s="11" t="s">
        <v>78</v>
      </c>
      <c r="E251" s="11" t="s">
        <v>78</v>
      </c>
    </row>
    <row r="252" spans="1:5" ht="15">
      <c r="A252" s="10" t="s">
        <v>78</v>
      </c>
      <c r="B252" s="10" t="s">
        <v>78</v>
      </c>
      <c r="C252" s="10" t="s">
        <v>78</v>
      </c>
      <c r="D252" s="11" t="s">
        <v>78</v>
      </c>
      <c r="E252" s="11" t="s">
        <v>78</v>
      </c>
    </row>
    <row r="253" spans="1:5" ht="15">
      <c r="A253" s="10" t="s">
        <v>78</v>
      </c>
      <c r="B253" s="10" t="s">
        <v>78</v>
      </c>
      <c r="C253" s="10" t="s">
        <v>78</v>
      </c>
      <c r="D253" s="11" t="s">
        <v>78</v>
      </c>
      <c r="E253" s="11" t="s">
        <v>78</v>
      </c>
    </row>
    <row r="254" spans="1:5" ht="15">
      <c r="A254" s="10" t="s">
        <v>78</v>
      </c>
      <c r="B254" s="10" t="s">
        <v>78</v>
      </c>
      <c r="C254" s="10" t="s">
        <v>78</v>
      </c>
      <c r="D254" s="11" t="s">
        <v>78</v>
      </c>
      <c r="E254" s="11" t="s">
        <v>78</v>
      </c>
    </row>
    <row r="255" spans="1:5" ht="15">
      <c r="A255" s="10" t="s">
        <v>78</v>
      </c>
      <c r="B255" s="10" t="s">
        <v>78</v>
      </c>
      <c r="C255" s="10" t="s">
        <v>78</v>
      </c>
      <c r="D255" s="11" t="s">
        <v>78</v>
      </c>
      <c r="E255" s="11" t="s">
        <v>78</v>
      </c>
    </row>
    <row r="256" spans="1:5" ht="15">
      <c r="A256" s="10" t="s">
        <v>78</v>
      </c>
      <c r="B256" s="10" t="s">
        <v>78</v>
      </c>
      <c r="C256" s="10" t="s">
        <v>78</v>
      </c>
      <c r="D256" s="11" t="s">
        <v>78</v>
      </c>
      <c r="E256" s="11" t="s">
        <v>78</v>
      </c>
    </row>
    <row r="257" spans="1:5" ht="15">
      <c r="A257" s="10" t="s">
        <v>78</v>
      </c>
      <c r="B257" s="10" t="s">
        <v>78</v>
      </c>
      <c r="C257" s="10" t="s">
        <v>78</v>
      </c>
      <c r="D257" s="11" t="s">
        <v>78</v>
      </c>
      <c r="E257" s="11" t="s">
        <v>78</v>
      </c>
    </row>
    <row r="258" spans="1:5" ht="15">
      <c r="A258" s="10" t="s">
        <v>78</v>
      </c>
      <c r="B258" s="10" t="s">
        <v>78</v>
      </c>
      <c r="C258" s="10" t="s">
        <v>78</v>
      </c>
      <c r="D258" s="11" t="s">
        <v>78</v>
      </c>
      <c r="E258" s="11" t="s">
        <v>78</v>
      </c>
    </row>
    <row r="259" spans="1:5" ht="15">
      <c r="A259" s="10" t="s">
        <v>78</v>
      </c>
      <c r="B259" s="10" t="s">
        <v>78</v>
      </c>
      <c r="C259" s="10" t="s">
        <v>78</v>
      </c>
      <c r="D259" s="11" t="s">
        <v>78</v>
      </c>
      <c r="E259" s="11" t="s">
        <v>78</v>
      </c>
    </row>
    <row r="260" spans="1:5" ht="15">
      <c r="A260" s="10" t="s">
        <v>78</v>
      </c>
      <c r="B260" s="10" t="s">
        <v>78</v>
      </c>
      <c r="C260" s="10" t="s">
        <v>78</v>
      </c>
      <c r="D260" s="11" t="s">
        <v>78</v>
      </c>
      <c r="E260" s="11" t="s">
        <v>78</v>
      </c>
    </row>
    <row r="261" spans="1:5" ht="15">
      <c r="A261" s="10" t="s">
        <v>78</v>
      </c>
      <c r="B261" s="10" t="s">
        <v>78</v>
      </c>
      <c r="C261" s="10" t="s">
        <v>78</v>
      </c>
      <c r="D261" s="11" t="s">
        <v>78</v>
      </c>
      <c r="E261" s="11" t="s">
        <v>78</v>
      </c>
    </row>
    <row r="262" spans="1:5" ht="15">
      <c r="A262" s="10" t="s">
        <v>78</v>
      </c>
      <c r="B262" s="10" t="s">
        <v>78</v>
      </c>
      <c r="C262" s="10" t="s">
        <v>78</v>
      </c>
      <c r="D262" s="11" t="s">
        <v>78</v>
      </c>
      <c r="E262" s="11" t="s">
        <v>78</v>
      </c>
    </row>
    <row r="263" spans="1:5" ht="15">
      <c r="A263" s="10" t="s">
        <v>78</v>
      </c>
      <c r="B263" s="10" t="s">
        <v>78</v>
      </c>
      <c r="C263" s="10" t="s">
        <v>78</v>
      </c>
      <c r="D263" s="11" t="s">
        <v>78</v>
      </c>
      <c r="E263" s="11" t="s">
        <v>78</v>
      </c>
    </row>
    <row r="264" spans="1:5" ht="15">
      <c r="A264" s="10" t="s">
        <v>78</v>
      </c>
      <c r="B264" s="10" t="s">
        <v>78</v>
      </c>
      <c r="C264" s="10" t="s">
        <v>78</v>
      </c>
      <c r="D264" s="11" t="s">
        <v>78</v>
      </c>
      <c r="E264" s="11" t="s">
        <v>78</v>
      </c>
    </row>
    <row r="265" spans="1:5" ht="15">
      <c r="A265" s="10" t="s">
        <v>78</v>
      </c>
      <c r="B265" s="10" t="s">
        <v>78</v>
      </c>
      <c r="C265" s="10" t="s">
        <v>78</v>
      </c>
      <c r="D265" s="11" t="s">
        <v>78</v>
      </c>
      <c r="E265" s="11" t="s">
        <v>78</v>
      </c>
    </row>
    <row r="266" spans="1:5" ht="15">
      <c r="A266" s="10" t="s">
        <v>78</v>
      </c>
      <c r="B266" s="10" t="s">
        <v>78</v>
      </c>
      <c r="C266" s="10" t="s">
        <v>78</v>
      </c>
      <c r="D266" s="11" t="s">
        <v>78</v>
      </c>
      <c r="E266" s="11" t="s">
        <v>78</v>
      </c>
    </row>
    <row r="267" spans="1:5" ht="15">
      <c r="A267" s="10" t="s">
        <v>78</v>
      </c>
      <c r="B267" s="10" t="s">
        <v>78</v>
      </c>
      <c r="C267" s="10" t="s">
        <v>78</v>
      </c>
      <c r="D267" s="11" t="s">
        <v>78</v>
      </c>
      <c r="E267" s="11" t="s">
        <v>78</v>
      </c>
    </row>
    <row r="268" spans="1:5" ht="15">
      <c r="A268" s="10" t="s">
        <v>78</v>
      </c>
      <c r="B268" s="10" t="s">
        <v>78</v>
      </c>
      <c r="C268" s="10" t="s">
        <v>78</v>
      </c>
      <c r="D268" s="11" t="s">
        <v>78</v>
      </c>
      <c r="E268" s="11" t="s">
        <v>78</v>
      </c>
    </row>
    <row r="269" spans="1:5" ht="15">
      <c r="A269" s="10" t="s">
        <v>78</v>
      </c>
      <c r="B269" s="10" t="s">
        <v>78</v>
      </c>
      <c r="C269" s="10" t="s">
        <v>78</v>
      </c>
      <c r="D269" s="11" t="s">
        <v>78</v>
      </c>
      <c r="E269" s="11" t="s">
        <v>78</v>
      </c>
    </row>
    <row r="270" spans="1:5" ht="15">
      <c r="A270" s="10" t="s">
        <v>78</v>
      </c>
      <c r="B270" s="10" t="s">
        <v>78</v>
      </c>
      <c r="C270" s="10" t="s">
        <v>78</v>
      </c>
      <c r="D270" s="11" t="s">
        <v>78</v>
      </c>
      <c r="E270" s="11" t="s">
        <v>78</v>
      </c>
    </row>
    <row r="271" spans="1:5" ht="15">
      <c r="A271" s="10" t="s">
        <v>78</v>
      </c>
      <c r="B271" s="10" t="s">
        <v>78</v>
      </c>
      <c r="C271" s="10" t="s">
        <v>78</v>
      </c>
      <c r="D271" s="11" t="s">
        <v>78</v>
      </c>
      <c r="E271" s="11" t="s">
        <v>78</v>
      </c>
    </row>
    <row r="272" spans="1:5" ht="15">
      <c r="A272" s="10" t="s">
        <v>78</v>
      </c>
      <c r="B272" s="10" t="s">
        <v>78</v>
      </c>
      <c r="C272" s="10" t="s">
        <v>78</v>
      </c>
      <c r="D272" s="11" t="s">
        <v>78</v>
      </c>
      <c r="E272" s="11" t="s">
        <v>78</v>
      </c>
    </row>
    <row r="273" spans="1:5" ht="15">
      <c r="A273" s="10" t="s">
        <v>78</v>
      </c>
      <c r="B273" s="10" t="s">
        <v>78</v>
      </c>
      <c r="C273" s="10" t="s">
        <v>78</v>
      </c>
      <c r="D273" s="11" t="s">
        <v>78</v>
      </c>
      <c r="E273" s="11" t="s">
        <v>78</v>
      </c>
    </row>
    <row r="274" spans="1:5" ht="15">
      <c r="A274" s="10" t="s">
        <v>78</v>
      </c>
      <c r="B274" s="10" t="s">
        <v>78</v>
      </c>
      <c r="C274" s="10" t="s">
        <v>78</v>
      </c>
      <c r="D274" s="11" t="s">
        <v>78</v>
      </c>
      <c r="E274" s="11" t="s">
        <v>78</v>
      </c>
    </row>
    <row r="275" spans="1:5" ht="15">
      <c r="A275" s="10" t="s">
        <v>78</v>
      </c>
      <c r="B275" s="10" t="s">
        <v>78</v>
      </c>
      <c r="C275" s="10" t="s">
        <v>78</v>
      </c>
      <c r="D275" s="11" t="s">
        <v>78</v>
      </c>
      <c r="E275" s="11" t="s">
        <v>78</v>
      </c>
    </row>
    <row r="276" spans="1:5" ht="15">
      <c r="A276" s="10" t="s">
        <v>78</v>
      </c>
      <c r="B276" s="10" t="s">
        <v>78</v>
      </c>
      <c r="C276" s="10" t="s">
        <v>78</v>
      </c>
      <c r="D276" s="11" t="s">
        <v>78</v>
      </c>
      <c r="E276" s="11" t="s">
        <v>78</v>
      </c>
    </row>
    <row r="277" spans="1:5" ht="15">
      <c r="A277" s="10" t="s">
        <v>78</v>
      </c>
      <c r="B277" s="10" t="s">
        <v>78</v>
      </c>
      <c r="C277" s="10" t="s">
        <v>78</v>
      </c>
      <c r="D277" s="11" t="s">
        <v>78</v>
      </c>
      <c r="E277" s="11" t="s">
        <v>78</v>
      </c>
    </row>
    <row r="278" spans="1:5" ht="15">
      <c r="A278" s="10" t="s">
        <v>78</v>
      </c>
      <c r="B278" s="10" t="s">
        <v>78</v>
      </c>
      <c r="C278" s="10" t="s">
        <v>78</v>
      </c>
      <c r="D278" s="11" t="s">
        <v>78</v>
      </c>
      <c r="E278" s="11" t="s">
        <v>78</v>
      </c>
    </row>
    <row r="279" spans="1:5" ht="15">
      <c r="A279" s="10" t="s">
        <v>78</v>
      </c>
      <c r="B279" s="10" t="s">
        <v>78</v>
      </c>
      <c r="C279" s="10" t="s">
        <v>78</v>
      </c>
      <c r="D279" s="11" t="s">
        <v>78</v>
      </c>
      <c r="E279" s="11" t="s">
        <v>78</v>
      </c>
    </row>
    <row r="280" spans="1:5" ht="15">
      <c r="A280" s="10" t="s">
        <v>78</v>
      </c>
      <c r="B280" s="10" t="s">
        <v>78</v>
      </c>
      <c r="C280" s="10" t="s">
        <v>78</v>
      </c>
      <c r="D280" s="11" t="s">
        <v>78</v>
      </c>
      <c r="E280" s="11" t="s">
        <v>78</v>
      </c>
    </row>
    <row r="281" spans="1:5" ht="15">
      <c r="A281" s="10" t="s">
        <v>78</v>
      </c>
      <c r="B281" s="10" t="s">
        <v>78</v>
      </c>
      <c r="C281" s="10" t="s">
        <v>78</v>
      </c>
      <c r="D281" s="11" t="s">
        <v>78</v>
      </c>
      <c r="E281" s="11" t="s">
        <v>78</v>
      </c>
    </row>
    <row r="282" spans="1:5" ht="15">
      <c r="A282" s="10" t="s">
        <v>78</v>
      </c>
      <c r="B282" s="10" t="s">
        <v>78</v>
      </c>
      <c r="C282" s="10" t="s">
        <v>78</v>
      </c>
      <c r="D282" s="11" t="s">
        <v>78</v>
      </c>
      <c r="E282" s="11" t="s">
        <v>78</v>
      </c>
    </row>
    <row r="283" spans="1:5" ht="15">
      <c r="A283" s="10" t="s">
        <v>78</v>
      </c>
      <c r="B283" s="10" t="s">
        <v>78</v>
      </c>
      <c r="C283" s="10" t="s">
        <v>78</v>
      </c>
      <c r="D283" s="11" t="s">
        <v>78</v>
      </c>
      <c r="E283" s="11" t="s">
        <v>78</v>
      </c>
    </row>
    <row r="284" spans="1:5" ht="15">
      <c r="A284" s="10" t="s">
        <v>78</v>
      </c>
      <c r="B284" s="10" t="s">
        <v>78</v>
      </c>
      <c r="C284" s="10" t="s">
        <v>78</v>
      </c>
      <c r="D284" s="11" t="s">
        <v>78</v>
      </c>
      <c r="E284" s="11" t="s">
        <v>78</v>
      </c>
    </row>
    <row r="285" spans="1:5" ht="15">
      <c r="A285" s="10" t="s">
        <v>78</v>
      </c>
      <c r="B285" s="10" t="s">
        <v>78</v>
      </c>
      <c r="C285" s="10" t="s">
        <v>78</v>
      </c>
      <c r="D285" s="11" t="s">
        <v>78</v>
      </c>
      <c r="E285" s="11" t="s">
        <v>78</v>
      </c>
    </row>
    <row r="286" spans="1:5" ht="15">
      <c r="A286" s="10" t="s">
        <v>78</v>
      </c>
      <c r="B286" s="10" t="s">
        <v>78</v>
      </c>
      <c r="C286" s="10" t="s">
        <v>78</v>
      </c>
      <c r="D286" s="11" t="s">
        <v>78</v>
      </c>
      <c r="E286" s="11" t="s">
        <v>78</v>
      </c>
    </row>
    <row r="287" spans="1:5" ht="15">
      <c r="A287" s="10" t="s">
        <v>78</v>
      </c>
      <c r="B287" s="10" t="s">
        <v>78</v>
      </c>
      <c r="C287" s="10" t="s">
        <v>78</v>
      </c>
      <c r="D287" s="11" t="s">
        <v>78</v>
      </c>
      <c r="E287" s="11" t="s">
        <v>78</v>
      </c>
    </row>
    <row r="288" spans="1:5" ht="15">
      <c r="A288" s="10" t="s">
        <v>78</v>
      </c>
      <c r="B288" s="10" t="s">
        <v>78</v>
      </c>
      <c r="C288" s="10" t="s">
        <v>78</v>
      </c>
      <c r="D288" s="11" t="s">
        <v>78</v>
      </c>
      <c r="E288" s="11" t="s">
        <v>78</v>
      </c>
    </row>
    <row r="289" spans="1:5" ht="15">
      <c r="A289" s="10" t="s">
        <v>78</v>
      </c>
      <c r="B289" s="10" t="s">
        <v>78</v>
      </c>
      <c r="C289" s="10" t="s">
        <v>78</v>
      </c>
      <c r="D289" s="11" t="s">
        <v>78</v>
      </c>
      <c r="E289" s="11" t="s">
        <v>78</v>
      </c>
    </row>
    <row r="290" spans="1:5" ht="15">
      <c r="A290" s="10" t="s">
        <v>78</v>
      </c>
      <c r="B290" s="10" t="s">
        <v>78</v>
      </c>
      <c r="C290" s="10" t="s">
        <v>78</v>
      </c>
      <c r="D290" s="11" t="s">
        <v>78</v>
      </c>
      <c r="E290" s="11" t="s">
        <v>78</v>
      </c>
    </row>
    <row r="291" spans="1:5" ht="15">
      <c r="A291" s="10" t="s">
        <v>78</v>
      </c>
      <c r="B291" s="10" t="s">
        <v>78</v>
      </c>
      <c r="C291" s="10" t="s">
        <v>78</v>
      </c>
      <c r="D291" s="11" t="s">
        <v>78</v>
      </c>
      <c r="E291" s="11" t="s">
        <v>78</v>
      </c>
    </row>
    <row r="292" spans="1:5" ht="15">
      <c r="A292" s="10" t="s">
        <v>78</v>
      </c>
      <c r="B292" s="10" t="s">
        <v>78</v>
      </c>
      <c r="C292" s="10" t="s">
        <v>78</v>
      </c>
      <c r="D292" s="11" t="s">
        <v>78</v>
      </c>
      <c r="E292" s="11" t="s">
        <v>78</v>
      </c>
    </row>
    <row r="293" spans="1:5" ht="15">
      <c r="A293" s="10" t="s">
        <v>78</v>
      </c>
      <c r="B293" s="10" t="s">
        <v>78</v>
      </c>
      <c r="C293" s="10" t="s">
        <v>78</v>
      </c>
      <c r="D293" s="11" t="s">
        <v>78</v>
      </c>
      <c r="E293" s="11" t="s">
        <v>78</v>
      </c>
    </row>
  </sheetData>
  <sheetProtection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45"/>
  </sheetPr>
  <dimension ref="A1:AN48"/>
  <sheetViews>
    <sheetView showGridLines="0" view="pageBreakPreview" zoomScale="90" zoomScaleNormal="75" zoomScaleSheetLayoutView="90" zoomScalePageLayoutView="0" workbookViewId="0" topLeftCell="A36">
      <selection activeCell="AH40" sqref="AH40"/>
    </sheetView>
  </sheetViews>
  <sheetFormatPr defaultColWidth="8.75390625" defaultRowHeight="12" customHeight="1"/>
  <cols>
    <col min="1" max="1" width="5.75390625" style="77" customWidth="1"/>
    <col min="2" max="2" width="21.375" style="77" customWidth="1"/>
    <col min="3" max="24" width="3.25390625" style="77" customWidth="1"/>
    <col min="25" max="25" width="6.00390625" style="77" customWidth="1"/>
    <col min="26" max="26" width="7.25390625" style="77" customWidth="1"/>
    <col min="27" max="27" width="4.25390625" style="78" customWidth="1"/>
    <col min="28" max="28" width="4.25390625" style="77" customWidth="1"/>
    <col min="29" max="31" width="7.75390625" style="77" customWidth="1"/>
    <col min="32" max="32" width="1.00390625" style="77" customWidth="1"/>
    <col min="33" max="35" width="7.75390625" style="77" customWidth="1"/>
    <col min="36" max="37" width="4.25390625" style="77" customWidth="1"/>
    <col min="38" max="43" width="7.75390625" style="77" customWidth="1"/>
    <col min="44" max="45" width="4.25390625" style="77" customWidth="1"/>
    <col min="46" max="48" width="7.75390625" style="77" customWidth="1"/>
    <col min="49" max="49" width="1.00390625" style="77" customWidth="1"/>
    <col min="50" max="52" width="7.75390625" style="77" customWidth="1"/>
    <col min="53" max="54" width="4.25390625" style="77" customWidth="1"/>
    <col min="55" max="60" width="7.75390625" style="77" customWidth="1"/>
    <col min="61" max="62" width="4.25390625" style="77" customWidth="1"/>
    <col min="63" max="65" width="7.75390625" style="77" customWidth="1"/>
    <col min="66" max="66" width="1.00390625" style="77" customWidth="1"/>
    <col min="67" max="69" width="7.75390625" style="77" customWidth="1"/>
    <col min="70" max="71" width="4.25390625" style="77" customWidth="1"/>
    <col min="72" max="74" width="7.75390625" style="77" customWidth="1"/>
    <col min="75" max="16384" width="8.75390625" style="77" customWidth="1"/>
  </cols>
  <sheetData>
    <row r="1" spans="1:40" s="70" customFormat="1" ht="19.5" customHeight="1">
      <c r="A1" s="243" t="s">
        <v>73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F1" s="69"/>
      <c r="AG1" s="69"/>
      <c r="AH1" s="69"/>
      <c r="AI1" s="69"/>
      <c r="AJ1" s="69"/>
      <c r="AK1" s="69"/>
      <c r="AL1" s="69"/>
      <c r="AM1" s="69"/>
      <c r="AN1" s="69"/>
    </row>
    <row r="2" spans="1:40" s="70" customFormat="1" ht="20.25" customHeight="1">
      <c r="A2" s="71"/>
      <c r="B2" s="72"/>
      <c r="C2" s="72"/>
      <c r="E2" s="244" t="s">
        <v>214</v>
      </c>
      <c r="F2" s="244"/>
      <c r="G2" s="244"/>
      <c r="H2" s="244"/>
      <c r="I2" s="244"/>
      <c r="J2" s="244"/>
      <c r="K2" s="244"/>
      <c r="L2" s="244"/>
      <c r="M2" s="244"/>
      <c r="N2" s="244"/>
      <c r="O2" s="244"/>
      <c r="P2" s="244"/>
      <c r="Q2" s="244"/>
      <c r="R2" s="244"/>
      <c r="S2" s="69"/>
      <c r="T2" s="69"/>
      <c r="U2" s="197" t="s">
        <v>75</v>
      </c>
      <c r="V2" s="197"/>
      <c r="W2" s="197"/>
      <c r="X2" s="197"/>
      <c r="Y2" s="197"/>
      <c r="Z2" s="197"/>
      <c r="AF2" s="69"/>
      <c r="AG2" s="69"/>
      <c r="AH2" s="69"/>
      <c r="AI2" s="69"/>
      <c r="AJ2" s="69"/>
      <c r="AK2" s="69"/>
      <c r="AL2" s="69"/>
      <c r="AM2" s="69"/>
      <c r="AN2" s="69"/>
    </row>
    <row r="3" spans="1:40" s="70" customFormat="1" ht="15" customHeight="1">
      <c r="A3" s="69"/>
      <c r="B3" s="69"/>
      <c r="C3" s="69"/>
      <c r="D3" s="69"/>
      <c r="E3" s="69"/>
      <c r="F3" s="69"/>
      <c r="G3" s="69"/>
      <c r="H3" s="69"/>
      <c r="I3" s="69"/>
      <c r="J3" s="69"/>
      <c r="K3" s="69"/>
      <c r="L3" s="69"/>
      <c r="M3" s="69"/>
      <c r="N3" s="69"/>
      <c r="O3" s="69"/>
      <c r="P3" s="69"/>
      <c r="Q3" s="69"/>
      <c r="R3" s="69"/>
      <c r="S3" s="69"/>
      <c r="T3" s="69"/>
      <c r="U3" s="69"/>
      <c r="V3" s="69"/>
      <c r="W3" s="69"/>
      <c r="X3" s="69"/>
      <c r="Y3" s="74"/>
      <c r="Z3" s="74" t="s">
        <v>6</v>
      </c>
      <c r="AF3" s="69"/>
      <c r="AG3" s="69"/>
      <c r="AH3" s="69"/>
      <c r="AI3" s="69"/>
      <c r="AJ3" s="69"/>
      <c r="AK3" s="69"/>
      <c r="AL3" s="69"/>
      <c r="AM3" s="69"/>
      <c r="AN3" s="69"/>
    </row>
    <row r="4" spans="1:40" ht="15" customHeight="1">
      <c r="A4" s="75" t="s">
        <v>8</v>
      </c>
      <c r="B4" s="76"/>
      <c r="C4" s="76"/>
      <c r="D4" s="76"/>
      <c r="E4" s="76"/>
      <c r="F4" s="76"/>
      <c r="G4" s="76"/>
      <c r="H4" s="76"/>
      <c r="I4" s="76"/>
      <c r="J4" s="76"/>
      <c r="K4" s="76"/>
      <c r="L4" s="76"/>
      <c r="M4" s="76"/>
      <c r="N4" s="76"/>
      <c r="O4" s="76"/>
      <c r="P4" s="76"/>
      <c r="Q4" s="76"/>
      <c r="R4" s="76"/>
      <c r="S4" s="76"/>
      <c r="T4" s="76"/>
      <c r="U4" s="76"/>
      <c r="V4" s="76"/>
      <c r="W4" s="76"/>
      <c r="X4" s="76"/>
      <c r="Y4" s="76"/>
      <c r="Z4" s="76"/>
      <c r="AF4" s="69"/>
      <c r="AG4" s="69"/>
      <c r="AH4" s="69"/>
      <c r="AI4" s="69"/>
      <c r="AJ4" s="69"/>
      <c r="AK4" s="69"/>
      <c r="AL4" s="69"/>
      <c r="AM4" s="69"/>
      <c r="AN4" s="69"/>
    </row>
    <row r="5" spans="1:40" ht="13.5" customHeight="1">
      <c r="A5" s="79" t="s">
        <v>9</v>
      </c>
      <c r="B5" s="80" t="s">
        <v>10</v>
      </c>
      <c r="C5" s="232">
        <v>2</v>
      </c>
      <c r="D5" s="233"/>
      <c r="E5" s="233"/>
      <c r="F5" s="233"/>
      <c r="G5" s="234"/>
      <c r="H5" s="232">
        <v>9</v>
      </c>
      <c r="I5" s="233"/>
      <c r="J5" s="233"/>
      <c r="K5" s="233"/>
      <c r="L5" s="233"/>
      <c r="M5" s="232">
        <v>18</v>
      </c>
      <c r="N5" s="233"/>
      <c r="O5" s="233"/>
      <c r="P5" s="233"/>
      <c r="Q5" s="233"/>
      <c r="R5" s="232">
        <v>24</v>
      </c>
      <c r="S5" s="233"/>
      <c r="T5" s="233"/>
      <c r="U5" s="233"/>
      <c r="V5" s="233"/>
      <c r="W5" s="235" t="s">
        <v>11</v>
      </c>
      <c r="X5" s="236"/>
      <c r="Y5" s="81" t="s">
        <v>12</v>
      </c>
      <c r="Z5" s="81"/>
      <c r="AF5" s="69"/>
      <c r="AG5" s="69"/>
      <c r="AH5" s="69"/>
      <c r="AI5" s="69"/>
      <c r="AJ5" s="69"/>
      <c r="AK5" s="69"/>
      <c r="AL5" s="69"/>
      <c r="AM5" s="69"/>
      <c r="AN5" s="69"/>
    </row>
    <row r="6" spans="1:40" ht="13.5" customHeight="1">
      <c r="A6" s="231">
        <v>2</v>
      </c>
      <c r="B6" s="82" t="s">
        <v>215</v>
      </c>
      <c r="C6" s="220" t="s">
        <v>16</v>
      </c>
      <c r="D6" s="221"/>
      <c r="E6" s="221"/>
      <c r="F6" s="221"/>
      <c r="G6" s="227"/>
      <c r="H6" s="240" t="s">
        <v>217</v>
      </c>
      <c r="I6" s="204"/>
      <c r="J6" s="204"/>
      <c r="K6" s="204"/>
      <c r="L6" s="241"/>
      <c r="M6" s="218" t="s">
        <v>218</v>
      </c>
      <c r="N6" s="203"/>
      <c r="O6" s="203"/>
      <c r="P6" s="203"/>
      <c r="Q6" s="203"/>
      <c r="R6" s="218" t="s">
        <v>218</v>
      </c>
      <c r="S6" s="203"/>
      <c r="T6" s="203"/>
      <c r="U6" s="203"/>
      <c r="V6" s="203"/>
      <c r="W6" s="228" t="s">
        <v>219</v>
      </c>
      <c r="X6" s="229"/>
      <c r="Y6" s="225">
        <v>6</v>
      </c>
      <c r="Z6" s="226">
        <v>1</v>
      </c>
      <c r="AA6" s="83"/>
      <c r="AB6" s="83"/>
      <c r="AC6" s="83"/>
      <c r="AD6" s="83"/>
      <c r="AE6" s="69"/>
      <c r="AF6" s="69"/>
      <c r="AG6" s="69"/>
      <c r="AH6" s="69"/>
      <c r="AI6" s="69"/>
      <c r="AJ6" s="69"/>
      <c r="AK6" s="69"/>
      <c r="AL6" s="69"/>
      <c r="AM6" s="69"/>
      <c r="AN6" s="69"/>
    </row>
    <row r="7" spans="1:40" ht="13.5" customHeight="1">
      <c r="A7" s="217"/>
      <c r="B7" s="84" t="s">
        <v>34</v>
      </c>
      <c r="C7" s="210" t="s">
        <v>222</v>
      </c>
      <c r="D7" s="211"/>
      <c r="E7" s="211"/>
      <c r="F7" s="211"/>
      <c r="G7" s="230"/>
      <c r="H7" s="85" t="s">
        <v>223</v>
      </c>
      <c r="I7" s="86" t="s">
        <v>224</v>
      </c>
      <c r="J7" s="86" t="s">
        <v>225</v>
      </c>
      <c r="K7" s="86" t="s">
        <v>226</v>
      </c>
      <c r="L7" s="86" t="s">
        <v>21</v>
      </c>
      <c r="M7" s="85" t="s">
        <v>223</v>
      </c>
      <c r="N7" s="86" t="s">
        <v>227</v>
      </c>
      <c r="O7" s="86" t="s">
        <v>223</v>
      </c>
      <c r="P7" s="86" t="s">
        <v>78</v>
      </c>
      <c r="Q7" s="86" t="s">
        <v>78</v>
      </c>
      <c r="R7" s="87" t="s">
        <v>224</v>
      </c>
      <c r="S7" s="88" t="s">
        <v>223</v>
      </c>
      <c r="T7" s="88" t="s">
        <v>228</v>
      </c>
      <c r="U7" s="86" t="s">
        <v>78</v>
      </c>
      <c r="V7" s="88" t="s">
        <v>78</v>
      </c>
      <c r="W7" s="214"/>
      <c r="X7" s="215"/>
      <c r="Y7" s="207"/>
      <c r="Z7" s="209"/>
      <c r="AA7" s="89"/>
      <c r="AB7" s="89"/>
      <c r="AC7" s="89"/>
      <c r="AD7" s="89"/>
      <c r="AE7" s="70"/>
      <c r="AF7" s="69"/>
      <c r="AG7" s="69"/>
      <c r="AH7" s="69"/>
      <c r="AI7" s="69"/>
      <c r="AJ7" s="69"/>
      <c r="AK7" s="69"/>
      <c r="AL7" s="69"/>
      <c r="AM7" s="69"/>
      <c r="AN7" s="69"/>
    </row>
    <row r="8" spans="1:40" ht="13.5" customHeight="1">
      <c r="A8" s="216">
        <v>9</v>
      </c>
      <c r="B8" s="82" t="s">
        <v>220</v>
      </c>
      <c r="C8" s="218" t="s">
        <v>229</v>
      </c>
      <c r="D8" s="203"/>
      <c r="E8" s="203"/>
      <c r="F8" s="203"/>
      <c r="G8" s="219"/>
      <c r="H8" s="220" t="s">
        <v>16</v>
      </c>
      <c r="I8" s="221"/>
      <c r="J8" s="221"/>
      <c r="K8" s="221"/>
      <c r="L8" s="221"/>
      <c r="M8" s="218" t="s">
        <v>218</v>
      </c>
      <c r="N8" s="203"/>
      <c r="O8" s="203"/>
      <c r="P8" s="203"/>
      <c r="Q8" s="203"/>
      <c r="R8" s="222" t="s">
        <v>230</v>
      </c>
      <c r="S8" s="223"/>
      <c r="T8" s="223"/>
      <c r="U8" s="203"/>
      <c r="V8" s="223"/>
      <c r="W8" s="212" t="s">
        <v>231</v>
      </c>
      <c r="X8" s="213"/>
      <c r="Y8" s="206">
        <v>5</v>
      </c>
      <c r="Z8" s="208">
        <v>2</v>
      </c>
      <c r="AA8" s="91"/>
      <c r="AB8" s="242"/>
      <c r="AC8" s="242"/>
      <c r="AD8" s="90"/>
      <c r="AE8" s="70"/>
      <c r="AF8" s="69"/>
      <c r="AG8" s="69"/>
      <c r="AH8" s="69"/>
      <c r="AI8" s="69"/>
      <c r="AJ8" s="69"/>
      <c r="AK8" s="69"/>
      <c r="AL8" s="69"/>
      <c r="AM8" s="69"/>
      <c r="AN8" s="69"/>
    </row>
    <row r="9" spans="1:40" ht="13.5" customHeight="1">
      <c r="A9" s="217"/>
      <c r="B9" s="84" t="s">
        <v>147</v>
      </c>
      <c r="C9" s="85" t="s">
        <v>225</v>
      </c>
      <c r="D9" s="86" t="s">
        <v>232</v>
      </c>
      <c r="E9" s="86" t="s">
        <v>223</v>
      </c>
      <c r="F9" s="86" t="s">
        <v>228</v>
      </c>
      <c r="G9" s="92" t="s">
        <v>29</v>
      </c>
      <c r="H9" s="210" t="s">
        <v>222</v>
      </c>
      <c r="I9" s="211"/>
      <c r="J9" s="211"/>
      <c r="K9" s="211"/>
      <c r="L9" s="211"/>
      <c r="M9" s="85" t="s">
        <v>228</v>
      </c>
      <c r="N9" s="86" t="s">
        <v>223</v>
      </c>
      <c r="O9" s="86" t="s">
        <v>233</v>
      </c>
      <c r="P9" s="86" t="s">
        <v>78</v>
      </c>
      <c r="Q9" s="86" t="s">
        <v>78</v>
      </c>
      <c r="R9" s="85" t="s">
        <v>224</v>
      </c>
      <c r="S9" s="86" t="s">
        <v>226</v>
      </c>
      <c r="T9" s="86" t="s">
        <v>234</v>
      </c>
      <c r="U9" s="86" t="s">
        <v>228</v>
      </c>
      <c r="V9" s="86" t="s">
        <v>78</v>
      </c>
      <c r="W9" s="214"/>
      <c r="X9" s="215"/>
      <c r="Y9" s="207"/>
      <c r="Z9" s="209"/>
      <c r="AA9" s="93"/>
      <c r="AB9" s="224"/>
      <c r="AC9" s="224"/>
      <c r="AD9" s="93"/>
      <c r="AE9" s="70"/>
      <c r="AF9" s="69"/>
      <c r="AG9" s="69"/>
      <c r="AH9" s="69"/>
      <c r="AI9" s="69"/>
      <c r="AJ9" s="69"/>
      <c r="AK9" s="69"/>
      <c r="AL9" s="69"/>
      <c r="AM9" s="69"/>
      <c r="AN9" s="69"/>
    </row>
    <row r="10" spans="1:40" ht="13.5" customHeight="1">
      <c r="A10" s="216">
        <v>18</v>
      </c>
      <c r="B10" s="82" t="s">
        <v>221</v>
      </c>
      <c r="C10" s="218" t="s">
        <v>235</v>
      </c>
      <c r="D10" s="203"/>
      <c r="E10" s="203"/>
      <c r="F10" s="203"/>
      <c r="G10" s="219"/>
      <c r="H10" s="237" t="s">
        <v>235</v>
      </c>
      <c r="I10" s="238"/>
      <c r="J10" s="238"/>
      <c r="K10" s="238"/>
      <c r="L10" s="239"/>
      <c r="M10" s="220" t="s">
        <v>16</v>
      </c>
      <c r="N10" s="221"/>
      <c r="O10" s="221"/>
      <c r="P10" s="221"/>
      <c r="Q10" s="221"/>
      <c r="R10" s="222" t="s">
        <v>229</v>
      </c>
      <c r="S10" s="223"/>
      <c r="T10" s="223"/>
      <c r="U10" s="223"/>
      <c r="V10" s="223"/>
      <c r="W10" s="212" t="s">
        <v>236</v>
      </c>
      <c r="X10" s="213"/>
      <c r="Y10" s="206">
        <v>3</v>
      </c>
      <c r="Z10" s="208">
        <v>4</v>
      </c>
      <c r="AA10" s="93"/>
      <c r="AB10" s="224"/>
      <c r="AC10" s="224"/>
      <c r="AD10" s="93"/>
      <c r="AE10" s="70"/>
      <c r="AF10" s="69"/>
      <c r="AG10" s="69"/>
      <c r="AH10" s="69"/>
      <c r="AI10" s="69"/>
      <c r="AJ10" s="69"/>
      <c r="AK10" s="69"/>
      <c r="AL10" s="69"/>
      <c r="AM10" s="69"/>
      <c r="AN10" s="69"/>
    </row>
    <row r="11" spans="1:40" ht="13.5" customHeight="1">
      <c r="A11" s="217"/>
      <c r="B11" s="84" t="s">
        <v>109</v>
      </c>
      <c r="C11" s="85" t="s">
        <v>225</v>
      </c>
      <c r="D11" s="86" t="s">
        <v>237</v>
      </c>
      <c r="E11" s="86" t="s">
        <v>225</v>
      </c>
      <c r="F11" s="86" t="s">
        <v>78</v>
      </c>
      <c r="G11" s="92" t="s">
        <v>78</v>
      </c>
      <c r="H11" s="85" t="s">
        <v>226</v>
      </c>
      <c r="I11" s="86" t="s">
        <v>225</v>
      </c>
      <c r="J11" s="86" t="s">
        <v>238</v>
      </c>
      <c r="K11" s="86" t="s">
        <v>78</v>
      </c>
      <c r="L11" s="86" t="s">
        <v>78</v>
      </c>
      <c r="M11" s="210" t="s">
        <v>222</v>
      </c>
      <c r="N11" s="211"/>
      <c r="O11" s="211"/>
      <c r="P11" s="211"/>
      <c r="Q11" s="211"/>
      <c r="R11" s="85" t="s">
        <v>232</v>
      </c>
      <c r="S11" s="86" t="s">
        <v>223</v>
      </c>
      <c r="T11" s="86" t="s">
        <v>239</v>
      </c>
      <c r="U11" s="86" t="s">
        <v>240</v>
      </c>
      <c r="V11" s="86" t="s">
        <v>20</v>
      </c>
      <c r="W11" s="214"/>
      <c r="X11" s="215"/>
      <c r="Y11" s="207"/>
      <c r="Z11" s="209"/>
      <c r="AA11" s="93"/>
      <c r="AB11" s="224"/>
      <c r="AC11" s="224"/>
      <c r="AD11" s="93"/>
      <c r="AE11" s="70"/>
      <c r="AF11" s="69"/>
      <c r="AG11" s="69"/>
      <c r="AH11" s="69"/>
      <c r="AI11" s="69"/>
      <c r="AJ11" s="69"/>
      <c r="AK11" s="69"/>
      <c r="AL11" s="69"/>
      <c r="AM11" s="69"/>
      <c r="AN11" s="69"/>
    </row>
    <row r="12" spans="1:40" ht="13.5" customHeight="1">
      <c r="A12" s="216">
        <v>24</v>
      </c>
      <c r="B12" s="82" t="s">
        <v>216</v>
      </c>
      <c r="C12" s="218" t="s">
        <v>235</v>
      </c>
      <c r="D12" s="203"/>
      <c r="E12" s="203"/>
      <c r="F12" s="203"/>
      <c r="G12" s="219"/>
      <c r="H12" s="237" t="s">
        <v>241</v>
      </c>
      <c r="I12" s="238"/>
      <c r="J12" s="238"/>
      <c r="K12" s="238"/>
      <c r="L12" s="239"/>
      <c r="M12" s="218" t="s">
        <v>217</v>
      </c>
      <c r="N12" s="203"/>
      <c r="O12" s="203"/>
      <c r="P12" s="203"/>
      <c r="Q12" s="203"/>
      <c r="R12" s="220" t="s">
        <v>16</v>
      </c>
      <c r="S12" s="221"/>
      <c r="T12" s="221"/>
      <c r="U12" s="221"/>
      <c r="V12" s="221"/>
      <c r="W12" s="212" t="s">
        <v>242</v>
      </c>
      <c r="X12" s="213"/>
      <c r="Y12" s="206">
        <v>4</v>
      </c>
      <c r="Z12" s="208">
        <v>3</v>
      </c>
      <c r="AA12" s="93"/>
      <c r="AB12" s="224"/>
      <c r="AC12" s="224"/>
      <c r="AD12" s="93"/>
      <c r="AF12" s="69"/>
      <c r="AG12" s="69"/>
      <c r="AH12" s="69"/>
      <c r="AI12" s="69"/>
      <c r="AJ12" s="69"/>
      <c r="AK12" s="69"/>
      <c r="AL12" s="69"/>
      <c r="AM12" s="69"/>
      <c r="AN12" s="69"/>
    </row>
    <row r="13" spans="1:40" ht="13.5" customHeight="1">
      <c r="A13" s="217"/>
      <c r="B13" s="84" t="s">
        <v>133</v>
      </c>
      <c r="C13" s="85" t="s">
        <v>232</v>
      </c>
      <c r="D13" s="86" t="s">
        <v>225</v>
      </c>
      <c r="E13" s="86" t="s">
        <v>226</v>
      </c>
      <c r="F13" s="86" t="s">
        <v>78</v>
      </c>
      <c r="G13" s="92" t="s">
        <v>78</v>
      </c>
      <c r="H13" s="85" t="s">
        <v>232</v>
      </c>
      <c r="I13" s="86" t="s">
        <v>228</v>
      </c>
      <c r="J13" s="86" t="s">
        <v>243</v>
      </c>
      <c r="K13" s="86" t="s">
        <v>226</v>
      </c>
      <c r="L13" s="86" t="s">
        <v>78</v>
      </c>
      <c r="M13" s="85" t="s">
        <v>224</v>
      </c>
      <c r="N13" s="86" t="s">
        <v>225</v>
      </c>
      <c r="O13" s="86" t="s">
        <v>244</v>
      </c>
      <c r="P13" s="86" t="s">
        <v>245</v>
      </c>
      <c r="Q13" s="86" t="s">
        <v>15</v>
      </c>
      <c r="R13" s="210" t="s">
        <v>222</v>
      </c>
      <c r="S13" s="211"/>
      <c r="T13" s="211"/>
      <c r="U13" s="211"/>
      <c r="V13" s="211"/>
      <c r="W13" s="214"/>
      <c r="X13" s="215"/>
      <c r="Y13" s="207"/>
      <c r="Z13" s="209"/>
      <c r="AA13" s="93"/>
      <c r="AB13" s="224"/>
      <c r="AC13" s="224"/>
      <c r="AD13" s="93"/>
      <c r="AF13" s="69"/>
      <c r="AG13" s="69"/>
      <c r="AH13" s="69"/>
      <c r="AI13" s="69"/>
      <c r="AJ13" s="69"/>
      <c r="AK13" s="69"/>
      <c r="AL13" s="69"/>
      <c r="AM13" s="69"/>
      <c r="AN13" s="69"/>
    </row>
    <row r="14" spans="1:40" ht="13.5" customHeight="1">
      <c r="A14" s="95"/>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3"/>
      <c r="AB14" s="224"/>
      <c r="AC14" s="224"/>
      <c r="AD14" s="93"/>
      <c r="AF14" s="69"/>
      <c r="AG14" s="69"/>
      <c r="AH14" s="69"/>
      <c r="AI14" s="69"/>
      <c r="AJ14" s="69"/>
      <c r="AK14" s="69"/>
      <c r="AL14" s="69"/>
      <c r="AM14" s="69"/>
      <c r="AN14" s="69"/>
    </row>
    <row r="15" spans="1:40" ht="15" customHeight="1">
      <c r="A15" s="75" t="s">
        <v>23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93"/>
      <c r="AB15" s="224"/>
      <c r="AC15" s="224"/>
      <c r="AD15" s="93"/>
      <c r="AF15" s="69"/>
      <c r="AG15" s="69"/>
      <c r="AH15" s="69"/>
      <c r="AI15" s="69"/>
      <c r="AJ15" s="69"/>
      <c r="AK15" s="69"/>
      <c r="AL15" s="69"/>
      <c r="AM15" s="69"/>
      <c r="AN15" s="69"/>
    </row>
    <row r="16" spans="1:40" ht="13.5" customHeight="1">
      <c r="A16" s="79" t="s">
        <v>9</v>
      </c>
      <c r="B16" s="80" t="s">
        <v>10</v>
      </c>
      <c r="C16" s="232">
        <v>4</v>
      </c>
      <c r="D16" s="233"/>
      <c r="E16" s="233"/>
      <c r="F16" s="233"/>
      <c r="G16" s="234"/>
      <c r="H16" s="232">
        <v>11</v>
      </c>
      <c r="I16" s="233"/>
      <c r="J16" s="233"/>
      <c r="K16" s="233"/>
      <c r="L16" s="233"/>
      <c r="M16" s="232">
        <v>19</v>
      </c>
      <c r="N16" s="233"/>
      <c r="O16" s="233"/>
      <c r="P16" s="233"/>
      <c r="Q16" s="233"/>
      <c r="R16" s="232">
        <v>41</v>
      </c>
      <c r="S16" s="233"/>
      <c r="T16" s="233"/>
      <c r="U16" s="233"/>
      <c r="V16" s="233"/>
      <c r="W16" s="235" t="s">
        <v>11</v>
      </c>
      <c r="X16" s="236"/>
      <c r="Y16" s="81" t="s">
        <v>12</v>
      </c>
      <c r="Z16" s="81" t="s">
        <v>24</v>
      </c>
      <c r="AA16" s="93"/>
      <c r="AB16" s="224"/>
      <c r="AC16" s="224"/>
      <c r="AD16" s="93"/>
      <c r="AF16" s="69"/>
      <c r="AG16" s="69"/>
      <c r="AH16" s="69"/>
      <c r="AI16" s="69"/>
      <c r="AJ16" s="69"/>
      <c r="AK16" s="69"/>
      <c r="AL16" s="69"/>
      <c r="AM16" s="69"/>
      <c r="AN16" s="69"/>
    </row>
    <row r="17" spans="1:40" ht="13.5" customHeight="1">
      <c r="A17" s="231">
        <v>4</v>
      </c>
      <c r="B17" s="82" t="s">
        <v>246</v>
      </c>
      <c r="C17" s="220" t="s">
        <v>16</v>
      </c>
      <c r="D17" s="221"/>
      <c r="E17" s="221"/>
      <c r="F17" s="221"/>
      <c r="G17" s="227"/>
      <c r="H17" s="240" t="s">
        <v>217</v>
      </c>
      <c r="I17" s="204"/>
      <c r="J17" s="204"/>
      <c r="K17" s="204"/>
      <c r="L17" s="241"/>
      <c r="M17" s="218" t="s">
        <v>218</v>
      </c>
      <c r="N17" s="203"/>
      <c r="O17" s="203"/>
      <c r="P17" s="203"/>
      <c r="Q17" s="203"/>
      <c r="R17" s="218" t="s">
        <v>218</v>
      </c>
      <c r="S17" s="203"/>
      <c r="T17" s="203"/>
      <c r="U17" s="203"/>
      <c r="V17" s="203"/>
      <c r="W17" s="228" t="s">
        <v>219</v>
      </c>
      <c r="X17" s="229"/>
      <c r="Y17" s="225">
        <v>6</v>
      </c>
      <c r="Z17" s="226">
        <v>1</v>
      </c>
      <c r="AA17" s="93"/>
      <c r="AB17" s="224"/>
      <c r="AC17" s="224"/>
      <c r="AD17" s="93"/>
      <c r="AF17" s="69"/>
      <c r="AG17" s="69"/>
      <c r="AH17" s="69"/>
      <c r="AI17" s="69"/>
      <c r="AJ17" s="69"/>
      <c r="AK17" s="69"/>
      <c r="AL17" s="69"/>
      <c r="AM17" s="69"/>
      <c r="AN17" s="69"/>
    </row>
    <row r="18" spans="1:40" ht="13.5" customHeight="1">
      <c r="A18" s="217"/>
      <c r="B18" s="84" t="s">
        <v>42</v>
      </c>
      <c r="C18" s="210" t="s">
        <v>222</v>
      </c>
      <c r="D18" s="211"/>
      <c r="E18" s="211"/>
      <c r="F18" s="211"/>
      <c r="G18" s="230"/>
      <c r="H18" s="85" t="s">
        <v>239</v>
      </c>
      <c r="I18" s="86" t="s">
        <v>232</v>
      </c>
      <c r="J18" s="86" t="s">
        <v>250</v>
      </c>
      <c r="K18" s="86" t="s">
        <v>251</v>
      </c>
      <c r="L18" s="86" t="s">
        <v>14</v>
      </c>
      <c r="M18" s="85" t="s">
        <v>244</v>
      </c>
      <c r="N18" s="86" t="s">
        <v>224</v>
      </c>
      <c r="O18" s="86" t="s">
        <v>233</v>
      </c>
      <c r="P18" s="86" t="s">
        <v>78</v>
      </c>
      <c r="Q18" s="86" t="s">
        <v>78</v>
      </c>
      <c r="R18" s="87" t="s">
        <v>233</v>
      </c>
      <c r="S18" s="88" t="s">
        <v>224</v>
      </c>
      <c r="T18" s="88" t="s">
        <v>223</v>
      </c>
      <c r="U18" s="86" t="s">
        <v>78</v>
      </c>
      <c r="V18" s="88" t="s">
        <v>78</v>
      </c>
      <c r="W18" s="214"/>
      <c r="X18" s="215"/>
      <c r="Y18" s="207"/>
      <c r="Z18" s="209"/>
      <c r="AA18" s="93"/>
      <c r="AB18" s="224"/>
      <c r="AC18" s="224"/>
      <c r="AD18" s="93"/>
      <c r="AF18" s="69"/>
      <c r="AG18" s="69"/>
      <c r="AH18" s="69"/>
      <c r="AI18" s="69"/>
      <c r="AJ18" s="69"/>
      <c r="AK18" s="69"/>
      <c r="AL18" s="69"/>
      <c r="AM18" s="69"/>
      <c r="AN18" s="69"/>
    </row>
    <row r="19" spans="1:40" ht="13.5" customHeight="1">
      <c r="A19" s="216">
        <v>11</v>
      </c>
      <c r="B19" s="82" t="s">
        <v>221</v>
      </c>
      <c r="C19" s="218" t="s">
        <v>229</v>
      </c>
      <c r="D19" s="203"/>
      <c r="E19" s="203"/>
      <c r="F19" s="203"/>
      <c r="G19" s="219"/>
      <c r="H19" s="220" t="s">
        <v>16</v>
      </c>
      <c r="I19" s="221"/>
      <c r="J19" s="221"/>
      <c r="K19" s="221"/>
      <c r="L19" s="221"/>
      <c r="M19" s="218" t="s">
        <v>217</v>
      </c>
      <c r="N19" s="203"/>
      <c r="O19" s="203"/>
      <c r="P19" s="203"/>
      <c r="Q19" s="203"/>
      <c r="R19" s="222" t="s">
        <v>218</v>
      </c>
      <c r="S19" s="223"/>
      <c r="T19" s="223"/>
      <c r="U19" s="203"/>
      <c r="V19" s="223"/>
      <c r="W19" s="212" t="s">
        <v>252</v>
      </c>
      <c r="X19" s="213"/>
      <c r="Y19" s="206">
        <v>5</v>
      </c>
      <c r="Z19" s="208">
        <v>2</v>
      </c>
      <c r="AA19" s="93"/>
      <c r="AB19" s="224"/>
      <c r="AC19" s="224"/>
      <c r="AD19" s="93"/>
      <c r="AF19" s="69"/>
      <c r="AG19" s="69"/>
      <c r="AH19" s="69"/>
      <c r="AI19" s="69"/>
      <c r="AJ19" s="69"/>
      <c r="AK19" s="69"/>
      <c r="AL19" s="69"/>
      <c r="AM19" s="69"/>
      <c r="AN19" s="69"/>
    </row>
    <row r="20" spans="1:40" ht="13.5" customHeight="1">
      <c r="A20" s="217"/>
      <c r="B20" s="84" t="s">
        <v>145</v>
      </c>
      <c r="C20" s="85" t="s">
        <v>244</v>
      </c>
      <c r="D20" s="86" t="s">
        <v>224</v>
      </c>
      <c r="E20" s="86" t="s">
        <v>253</v>
      </c>
      <c r="F20" s="86" t="s">
        <v>254</v>
      </c>
      <c r="G20" s="92" t="s">
        <v>18</v>
      </c>
      <c r="H20" s="210" t="s">
        <v>222</v>
      </c>
      <c r="I20" s="211"/>
      <c r="J20" s="211"/>
      <c r="K20" s="211"/>
      <c r="L20" s="211"/>
      <c r="M20" s="85" t="s">
        <v>233</v>
      </c>
      <c r="N20" s="86" t="s">
        <v>224</v>
      </c>
      <c r="O20" s="86" t="s">
        <v>254</v>
      </c>
      <c r="P20" s="86" t="s">
        <v>238</v>
      </c>
      <c r="Q20" s="86" t="s">
        <v>25</v>
      </c>
      <c r="R20" s="85" t="s">
        <v>255</v>
      </c>
      <c r="S20" s="86" t="s">
        <v>233</v>
      </c>
      <c r="T20" s="86" t="s">
        <v>256</v>
      </c>
      <c r="U20" s="86" t="s">
        <v>78</v>
      </c>
      <c r="V20" s="86" t="s">
        <v>78</v>
      </c>
      <c r="W20" s="214"/>
      <c r="X20" s="215"/>
      <c r="Y20" s="207"/>
      <c r="Z20" s="209"/>
      <c r="AA20" s="93"/>
      <c r="AB20" s="224"/>
      <c r="AC20" s="224"/>
      <c r="AD20" s="93"/>
      <c r="AF20" s="69"/>
      <c r="AG20" s="69"/>
      <c r="AH20" s="69"/>
      <c r="AI20" s="69"/>
      <c r="AJ20" s="69"/>
      <c r="AK20" s="69"/>
      <c r="AL20" s="69"/>
      <c r="AM20" s="69"/>
      <c r="AN20" s="69"/>
    </row>
    <row r="21" spans="1:40" ht="13.5" customHeight="1">
      <c r="A21" s="216">
        <v>19</v>
      </c>
      <c r="B21" s="82" t="s">
        <v>249</v>
      </c>
      <c r="C21" s="218" t="s">
        <v>235</v>
      </c>
      <c r="D21" s="203"/>
      <c r="E21" s="203"/>
      <c r="F21" s="203"/>
      <c r="G21" s="219"/>
      <c r="H21" s="237" t="s">
        <v>229</v>
      </c>
      <c r="I21" s="238"/>
      <c r="J21" s="238"/>
      <c r="K21" s="238"/>
      <c r="L21" s="239"/>
      <c r="M21" s="220" t="s">
        <v>16</v>
      </c>
      <c r="N21" s="221"/>
      <c r="O21" s="221"/>
      <c r="P21" s="221"/>
      <c r="Q21" s="221"/>
      <c r="R21" s="222" t="s">
        <v>217</v>
      </c>
      <c r="S21" s="223"/>
      <c r="T21" s="223"/>
      <c r="U21" s="223"/>
      <c r="V21" s="223"/>
      <c r="W21" s="212" t="s">
        <v>257</v>
      </c>
      <c r="X21" s="213"/>
      <c r="Y21" s="206">
        <v>4</v>
      </c>
      <c r="Z21" s="208">
        <v>3</v>
      </c>
      <c r="AA21" s="93"/>
      <c r="AB21" s="224"/>
      <c r="AC21" s="224"/>
      <c r="AD21" s="93"/>
      <c r="AF21" s="69"/>
      <c r="AG21" s="69"/>
      <c r="AH21" s="69"/>
      <c r="AI21" s="69"/>
      <c r="AJ21" s="69"/>
      <c r="AK21" s="69"/>
      <c r="AL21" s="69"/>
      <c r="AM21" s="69"/>
      <c r="AN21" s="69"/>
    </row>
    <row r="22" spans="1:40" ht="13.5" customHeight="1">
      <c r="A22" s="217"/>
      <c r="B22" s="84" t="s">
        <v>141</v>
      </c>
      <c r="C22" s="85" t="s">
        <v>239</v>
      </c>
      <c r="D22" s="86" t="s">
        <v>232</v>
      </c>
      <c r="E22" s="86" t="s">
        <v>238</v>
      </c>
      <c r="F22" s="86" t="s">
        <v>78</v>
      </c>
      <c r="G22" s="92" t="s">
        <v>78</v>
      </c>
      <c r="H22" s="85" t="s">
        <v>238</v>
      </c>
      <c r="I22" s="86" t="s">
        <v>232</v>
      </c>
      <c r="J22" s="86" t="s">
        <v>251</v>
      </c>
      <c r="K22" s="86" t="s">
        <v>233</v>
      </c>
      <c r="L22" s="86" t="s">
        <v>30</v>
      </c>
      <c r="M22" s="210" t="s">
        <v>222</v>
      </c>
      <c r="N22" s="211"/>
      <c r="O22" s="211"/>
      <c r="P22" s="211"/>
      <c r="Q22" s="211"/>
      <c r="R22" s="85" t="s">
        <v>224</v>
      </c>
      <c r="S22" s="86" t="s">
        <v>226</v>
      </c>
      <c r="T22" s="86" t="s">
        <v>233</v>
      </c>
      <c r="U22" s="86" t="s">
        <v>258</v>
      </c>
      <c r="V22" s="86" t="s">
        <v>19</v>
      </c>
      <c r="W22" s="214"/>
      <c r="X22" s="215"/>
      <c r="Y22" s="207"/>
      <c r="Z22" s="209"/>
      <c r="AA22" s="93"/>
      <c r="AB22" s="224"/>
      <c r="AC22" s="224"/>
      <c r="AD22" s="93"/>
      <c r="AF22" s="69"/>
      <c r="AG22" s="69"/>
      <c r="AH22" s="69"/>
      <c r="AI22" s="69"/>
      <c r="AJ22" s="69"/>
      <c r="AK22" s="69"/>
      <c r="AL22" s="69"/>
      <c r="AM22" s="69"/>
      <c r="AN22" s="69"/>
    </row>
    <row r="23" spans="1:40" ht="13.5" customHeight="1">
      <c r="A23" s="216">
        <v>41</v>
      </c>
      <c r="B23" s="82" t="s">
        <v>248</v>
      </c>
      <c r="C23" s="218" t="s">
        <v>235</v>
      </c>
      <c r="D23" s="203"/>
      <c r="E23" s="203"/>
      <c r="F23" s="203"/>
      <c r="G23" s="219"/>
      <c r="H23" s="237" t="s">
        <v>235</v>
      </c>
      <c r="I23" s="238"/>
      <c r="J23" s="238"/>
      <c r="K23" s="238"/>
      <c r="L23" s="239"/>
      <c r="M23" s="218" t="s">
        <v>229</v>
      </c>
      <c r="N23" s="203"/>
      <c r="O23" s="203"/>
      <c r="P23" s="203"/>
      <c r="Q23" s="203"/>
      <c r="R23" s="220" t="s">
        <v>16</v>
      </c>
      <c r="S23" s="221"/>
      <c r="T23" s="221"/>
      <c r="U23" s="221"/>
      <c r="V23" s="221"/>
      <c r="W23" s="212" t="s">
        <v>236</v>
      </c>
      <c r="X23" s="213"/>
      <c r="Y23" s="206">
        <v>3</v>
      </c>
      <c r="Z23" s="208">
        <v>4</v>
      </c>
      <c r="AA23" s="93"/>
      <c r="AB23" s="224"/>
      <c r="AC23" s="224"/>
      <c r="AD23" s="93"/>
      <c r="AF23" s="69"/>
      <c r="AG23" s="69"/>
      <c r="AH23" s="69"/>
      <c r="AI23" s="69"/>
      <c r="AJ23" s="69"/>
      <c r="AK23" s="69"/>
      <c r="AL23" s="69"/>
      <c r="AM23" s="69"/>
      <c r="AN23" s="69"/>
    </row>
    <row r="24" spans="1:40" ht="13.5" customHeight="1">
      <c r="A24" s="217"/>
      <c r="B24" s="84" t="s">
        <v>247</v>
      </c>
      <c r="C24" s="85" t="s">
        <v>238</v>
      </c>
      <c r="D24" s="86" t="s">
        <v>232</v>
      </c>
      <c r="E24" s="86" t="s">
        <v>225</v>
      </c>
      <c r="F24" s="86" t="s">
        <v>78</v>
      </c>
      <c r="G24" s="92" t="s">
        <v>78</v>
      </c>
      <c r="H24" s="85" t="s">
        <v>259</v>
      </c>
      <c r="I24" s="86" t="s">
        <v>238</v>
      </c>
      <c r="J24" s="86" t="s">
        <v>260</v>
      </c>
      <c r="K24" s="86" t="s">
        <v>78</v>
      </c>
      <c r="L24" s="86" t="s">
        <v>78</v>
      </c>
      <c r="M24" s="85" t="s">
        <v>232</v>
      </c>
      <c r="N24" s="86" t="s">
        <v>228</v>
      </c>
      <c r="O24" s="86" t="s">
        <v>238</v>
      </c>
      <c r="P24" s="86" t="s">
        <v>261</v>
      </c>
      <c r="Q24" s="86" t="s">
        <v>26</v>
      </c>
      <c r="R24" s="210" t="s">
        <v>222</v>
      </c>
      <c r="S24" s="211"/>
      <c r="T24" s="211"/>
      <c r="U24" s="211"/>
      <c r="V24" s="211"/>
      <c r="W24" s="214"/>
      <c r="X24" s="215"/>
      <c r="Y24" s="207"/>
      <c r="Z24" s="209"/>
      <c r="AA24" s="93"/>
      <c r="AB24" s="224"/>
      <c r="AC24" s="224"/>
      <c r="AD24" s="93"/>
      <c r="AF24" s="69"/>
      <c r="AG24" s="69"/>
      <c r="AH24" s="69"/>
      <c r="AI24" s="69"/>
      <c r="AJ24" s="69"/>
      <c r="AK24" s="69"/>
      <c r="AL24" s="69"/>
      <c r="AM24" s="69"/>
      <c r="AN24" s="69"/>
    </row>
    <row r="25" spans="1:40" ht="13.5" customHeight="1">
      <c r="A25" s="98"/>
      <c r="B25" s="99"/>
      <c r="C25" s="100"/>
      <c r="D25" s="100"/>
      <c r="E25" s="100"/>
      <c r="F25" s="100"/>
      <c r="G25" s="100"/>
      <c r="H25" s="100"/>
      <c r="I25" s="100"/>
      <c r="J25" s="100"/>
      <c r="K25" s="100"/>
      <c r="L25" s="100"/>
      <c r="M25" s="100"/>
      <c r="N25" s="100"/>
      <c r="O25" s="100"/>
      <c r="P25" s="100"/>
      <c r="Q25" s="100"/>
      <c r="R25" s="100"/>
      <c r="S25" s="100"/>
      <c r="T25" s="100"/>
      <c r="U25" s="100"/>
      <c r="V25" s="100"/>
      <c r="W25" s="97"/>
      <c r="X25" s="97"/>
      <c r="Y25" s="97"/>
      <c r="Z25" s="97"/>
      <c r="AA25" s="93"/>
      <c r="AB25" s="224"/>
      <c r="AC25" s="224"/>
      <c r="AD25" s="93"/>
      <c r="AF25" s="69"/>
      <c r="AG25" s="69"/>
      <c r="AH25" s="69"/>
      <c r="AI25" s="69"/>
      <c r="AJ25" s="69"/>
      <c r="AK25" s="69"/>
      <c r="AL25" s="69"/>
      <c r="AM25" s="69"/>
      <c r="AN25" s="69"/>
    </row>
    <row r="26" spans="1:40" ht="15" customHeight="1">
      <c r="A26" s="75" t="s">
        <v>28</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93"/>
      <c r="AB26" s="224"/>
      <c r="AC26" s="224"/>
      <c r="AD26" s="93"/>
      <c r="AF26" s="69"/>
      <c r="AG26" s="69"/>
      <c r="AH26" s="69"/>
      <c r="AI26" s="69"/>
      <c r="AJ26" s="69"/>
      <c r="AK26" s="69"/>
      <c r="AL26" s="69"/>
      <c r="AM26" s="69"/>
      <c r="AN26" s="69"/>
    </row>
    <row r="27" spans="1:40" ht="13.5" customHeight="1">
      <c r="A27" s="79" t="s">
        <v>9</v>
      </c>
      <c r="B27" s="80" t="s">
        <v>10</v>
      </c>
      <c r="C27" s="232">
        <v>5</v>
      </c>
      <c r="D27" s="233"/>
      <c r="E27" s="233"/>
      <c r="F27" s="233"/>
      <c r="G27" s="234"/>
      <c r="H27" s="232">
        <v>10</v>
      </c>
      <c r="I27" s="233"/>
      <c r="J27" s="233"/>
      <c r="K27" s="233"/>
      <c r="L27" s="233"/>
      <c r="M27" s="232">
        <v>15</v>
      </c>
      <c r="N27" s="233"/>
      <c r="O27" s="233"/>
      <c r="P27" s="233"/>
      <c r="Q27" s="233"/>
      <c r="R27" s="232">
        <v>32</v>
      </c>
      <c r="S27" s="233"/>
      <c r="T27" s="233"/>
      <c r="U27" s="233"/>
      <c r="V27" s="233"/>
      <c r="W27" s="235" t="s">
        <v>11</v>
      </c>
      <c r="X27" s="236"/>
      <c r="Y27" s="81" t="s">
        <v>12</v>
      </c>
      <c r="Z27" s="81" t="s">
        <v>24</v>
      </c>
      <c r="AA27" s="93"/>
      <c r="AB27" s="224"/>
      <c r="AC27" s="224"/>
      <c r="AD27" s="93"/>
      <c r="AF27" s="69"/>
      <c r="AG27" s="69"/>
      <c r="AH27" s="69"/>
      <c r="AI27" s="69"/>
      <c r="AJ27" s="69"/>
      <c r="AK27" s="69"/>
      <c r="AL27" s="69"/>
      <c r="AM27" s="69"/>
      <c r="AN27" s="69"/>
    </row>
    <row r="28" spans="1:40" ht="13.5" customHeight="1">
      <c r="A28" s="231">
        <v>5</v>
      </c>
      <c r="B28" s="82" t="s">
        <v>221</v>
      </c>
      <c r="C28" s="220" t="s">
        <v>16</v>
      </c>
      <c r="D28" s="221"/>
      <c r="E28" s="221"/>
      <c r="F28" s="221"/>
      <c r="G28" s="227"/>
      <c r="H28" s="265" t="s">
        <v>235</v>
      </c>
      <c r="I28" s="266"/>
      <c r="J28" s="266"/>
      <c r="K28" s="266"/>
      <c r="L28" s="266"/>
      <c r="M28" s="265" t="s">
        <v>230</v>
      </c>
      <c r="N28" s="266"/>
      <c r="O28" s="266"/>
      <c r="P28" s="266"/>
      <c r="Q28" s="266"/>
      <c r="R28" s="218" t="s">
        <v>230</v>
      </c>
      <c r="S28" s="203"/>
      <c r="T28" s="203"/>
      <c r="U28" s="203"/>
      <c r="V28" s="203"/>
      <c r="W28" s="228" t="s">
        <v>262</v>
      </c>
      <c r="X28" s="229"/>
      <c r="Y28" s="225">
        <v>5</v>
      </c>
      <c r="Z28" s="226">
        <v>3</v>
      </c>
      <c r="AA28" s="93"/>
      <c r="AB28" s="224"/>
      <c r="AC28" s="224"/>
      <c r="AD28" s="93"/>
      <c r="AF28" s="69"/>
      <c r="AG28" s="69"/>
      <c r="AH28" s="69"/>
      <c r="AI28" s="69"/>
      <c r="AJ28" s="69"/>
      <c r="AK28" s="69"/>
      <c r="AL28" s="69"/>
      <c r="AM28" s="69"/>
      <c r="AN28" s="69"/>
    </row>
    <row r="29" spans="1:40" ht="13.5" customHeight="1">
      <c r="A29" s="217"/>
      <c r="B29" s="84" t="s">
        <v>107</v>
      </c>
      <c r="C29" s="210" t="s">
        <v>222</v>
      </c>
      <c r="D29" s="211"/>
      <c r="E29" s="211"/>
      <c r="F29" s="211"/>
      <c r="G29" s="230"/>
      <c r="H29" s="101" t="s">
        <v>258</v>
      </c>
      <c r="I29" s="102" t="s">
        <v>260</v>
      </c>
      <c r="J29" s="102" t="s">
        <v>226</v>
      </c>
      <c r="K29" s="102" t="s">
        <v>78</v>
      </c>
      <c r="L29" s="102" t="s">
        <v>78</v>
      </c>
      <c r="M29" s="101" t="s">
        <v>224</v>
      </c>
      <c r="N29" s="102" t="s">
        <v>228</v>
      </c>
      <c r="O29" s="102" t="s">
        <v>238</v>
      </c>
      <c r="P29" s="102" t="s">
        <v>228</v>
      </c>
      <c r="Q29" s="102" t="s">
        <v>78</v>
      </c>
      <c r="R29" s="87" t="s">
        <v>228</v>
      </c>
      <c r="S29" s="88" t="s">
        <v>226</v>
      </c>
      <c r="T29" s="88" t="s">
        <v>224</v>
      </c>
      <c r="U29" s="86" t="s">
        <v>255</v>
      </c>
      <c r="V29" s="88" t="s">
        <v>78</v>
      </c>
      <c r="W29" s="214"/>
      <c r="X29" s="215"/>
      <c r="Y29" s="207"/>
      <c r="Z29" s="209"/>
      <c r="AA29" s="93"/>
      <c r="AB29" s="224"/>
      <c r="AC29" s="224"/>
      <c r="AD29" s="93"/>
      <c r="AF29" s="69"/>
      <c r="AG29" s="69"/>
      <c r="AH29" s="69"/>
      <c r="AI29" s="69"/>
      <c r="AJ29" s="69"/>
      <c r="AK29" s="69"/>
      <c r="AL29" s="69"/>
      <c r="AM29" s="69"/>
      <c r="AN29" s="69"/>
    </row>
    <row r="30" spans="1:40" ht="13.5" customHeight="1">
      <c r="A30" s="216">
        <v>10</v>
      </c>
      <c r="B30" s="82" t="s">
        <v>248</v>
      </c>
      <c r="C30" s="265" t="s">
        <v>218</v>
      </c>
      <c r="D30" s="266"/>
      <c r="E30" s="266"/>
      <c r="F30" s="266"/>
      <c r="G30" s="267"/>
      <c r="H30" s="220" t="s">
        <v>16</v>
      </c>
      <c r="I30" s="221"/>
      <c r="J30" s="221"/>
      <c r="K30" s="221"/>
      <c r="L30" s="221"/>
      <c r="M30" s="265" t="s">
        <v>235</v>
      </c>
      <c r="N30" s="266"/>
      <c r="O30" s="266"/>
      <c r="P30" s="266"/>
      <c r="Q30" s="266"/>
      <c r="R30" s="222" t="s">
        <v>218</v>
      </c>
      <c r="S30" s="223"/>
      <c r="T30" s="223"/>
      <c r="U30" s="203"/>
      <c r="V30" s="223"/>
      <c r="W30" s="212" t="s">
        <v>264</v>
      </c>
      <c r="X30" s="213"/>
      <c r="Y30" s="206">
        <v>5</v>
      </c>
      <c r="Z30" s="208">
        <v>2</v>
      </c>
      <c r="AA30" s="93"/>
      <c r="AB30" s="224"/>
      <c r="AC30" s="224"/>
      <c r="AD30" s="93"/>
      <c r="AF30" s="69"/>
      <c r="AG30" s="69"/>
      <c r="AH30" s="69"/>
      <c r="AI30" s="69"/>
      <c r="AJ30" s="69"/>
      <c r="AK30" s="69"/>
      <c r="AL30" s="69"/>
      <c r="AM30" s="69"/>
      <c r="AN30" s="69"/>
    </row>
    <row r="31" spans="1:40" ht="13.5" customHeight="1">
      <c r="A31" s="217"/>
      <c r="B31" s="84" t="s">
        <v>263</v>
      </c>
      <c r="C31" s="101" t="s">
        <v>261</v>
      </c>
      <c r="D31" s="102" t="s">
        <v>256</v>
      </c>
      <c r="E31" s="102" t="s">
        <v>228</v>
      </c>
      <c r="F31" s="102" t="s">
        <v>78</v>
      </c>
      <c r="G31" s="103" t="s">
        <v>78</v>
      </c>
      <c r="H31" s="210" t="s">
        <v>222</v>
      </c>
      <c r="I31" s="211"/>
      <c r="J31" s="211"/>
      <c r="K31" s="211"/>
      <c r="L31" s="211"/>
      <c r="M31" s="101" t="s">
        <v>258</v>
      </c>
      <c r="N31" s="102" t="s">
        <v>259</v>
      </c>
      <c r="O31" s="102" t="s">
        <v>232</v>
      </c>
      <c r="P31" s="102" t="s">
        <v>78</v>
      </c>
      <c r="Q31" s="102" t="s">
        <v>78</v>
      </c>
      <c r="R31" s="85" t="s">
        <v>223</v>
      </c>
      <c r="S31" s="86" t="s">
        <v>233</v>
      </c>
      <c r="T31" s="86" t="s">
        <v>233</v>
      </c>
      <c r="U31" s="86" t="s">
        <v>78</v>
      </c>
      <c r="V31" s="86" t="s">
        <v>78</v>
      </c>
      <c r="W31" s="214"/>
      <c r="X31" s="215"/>
      <c r="Y31" s="207"/>
      <c r="Z31" s="209"/>
      <c r="AA31" s="93"/>
      <c r="AB31" s="224"/>
      <c r="AC31" s="224"/>
      <c r="AD31" s="93"/>
      <c r="AF31" s="69"/>
      <c r="AG31" s="69"/>
      <c r="AH31" s="69"/>
      <c r="AI31" s="69"/>
      <c r="AJ31" s="69"/>
      <c r="AK31" s="69"/>
      <c r="AL31" s="69"/>
      <c r="AM31" s="69"/>
      <c r="AN31" s="69"/>
    </row>
    <row r="32" spans="1:40" ht="13.5" customHeight="1">
      <c r="A32" s="216">
        <v>15</v>
      </c>
      <c r="B32" s="82" t="s">
        <v>221</v>
      </c>
      <c r="C32" s="265" t="s">
        <v>241</v>
      </c>
      <c r="D32" s="266"/>
      <c r="E32" s="266"/>
      <c r="F32" s="266"/>
      <c r="G32" s="267"/>
      <c r="H32" s="265" t="s">
        <v>218</v>
      </c>
      <c r="I32" s="266"/>
      <c r="J32" s="266"/>
      <c r="K32" s="266"/>
      <c r="L32" s="266"/>
      <c r="M32" s="220" t="s">
        <v>16</v>
      </c>
      <c r="N32" s="221"/>
      <c r="O32" s="221"/>
      <c r="P32" s="221"/>
      <c r="Q32" s="221"/>
      <c r="R32" s="222" t="s">
        <v>230</v>
      </c>
      <c r="S32" s="223"/>
      <c r="T32" s="223"/>
      <c r="U32" s="223"/>
      <c r="V32" s="223"/>
      <c r="W32" s="212" t="s">
        <v>265</v>
      </c>
      <c r="X32" s="213"/>
      <c r="Y32" s="206">
        <v>5</v>
      </c>
      <c r="Z32" s="208">
        <v>1</v>
      </c>
      <c r="AA32" s="93"/>
      <c r="AB32" s="224"/>
      <c r="AC32" s="224"/>
      <c r="AD32" s="93"/>
      <c r="AF32" s="69"/>
      <c r="AG32" s="69"/>
      <c r="AH32" s="69"/>
      <c r="AI32" s="69"/>
      <c r="AJ32" s="69"/>
      <c r="AK32" s="69"/>
      <c r="AL32" s="69"/>
      <c r="AM32" s="69"/>
      <c r="AN32" s="69"/>
    </row>
    <row r="33" spans="1:40" ht="13.5" customHeight="1">
      <c r="A33" s="217"/>
      <c r="B33" s="84" t="s">
        <v>91</v>
      </c>
      <c r="C33" s="101" t="s">
        <v>232</v>
      </c>
      <c r="D33" s="102" t="s">
        <v>226</v>
      </c>
      <c r="E33" s="102" t="s">
        <v>233</v>
      </c>
      <c r="F33" s="102" t="s">
        <v>226</v>
      </c>
      <c r="G33" s="103" t="s">
        <v>78</v>
      </c>
      <c r="H33" s="101" t="s">
        <v>261</v>
      </c>
      <c r="I33" s="102" t="s">
        <v>255</v>
      </c>
      <c r="J33" s="102" t="s">
        <v>224</v>
      </c>
      <c r="K33" s="102" t="s">
        <v>78</v>
      </c>
      <c r="L33" s="102" t="s">
        <v>78</v>
      </c>
      <c r="M33" s="210" t="s">
        <v>222</v>
      </c>
      <c r="N33" s="211"/>
      <c r="O33" s="211"/>
      <c r="P33" s="211"/>
      <c r="Q33" s="211"/>
      <c r="R33" s="85" t="s">
        <v>266</v>
      </c>
      <c r="S33" s="86" t="s">
        <v>251</v>
      </c>
      <c r="T33" s="86" t="s">
        <v>245</v>
      </c>
      <c r="U33" s="86" t="s">
        <v>261</v>
      </c>
      <c r="V33" s="86" t="s">
        <v>78</v>
      </c>
      <c r="W33" s="214"/>
      <c r="X33" s="215"/>
      <c r="Y33" s="207"/>
      <c r="Z33" s="209"/>
      <c r="AA33" s="93"/>
      <c r="AB33" s="224"/>
      <c r="AC33" s="224"/>
      <c r="AD33" s="93"/>
      <c r="AF33" s="69"/>
      <c r="AG33" s="69"/>
      <c r="AH33" s="69"/>
      <c r="AI33" s="69"/>
      <c r="AJ33" s="69"/>
      <c r="AK33" s="69"/>
      <c r="AL33" s="69"/>
      <c r="AM33" s="69"/>
      <c r="AN33" s="69"/>
    </row>
    <row r="34" spans="1:40" ht="13.5" customHeight="1">
      <c r="A34" s="216">
        <v>32</v>
      </c>
      <c r="B34" s="82" t="s">
        <v>220</v>
      </c>
      <c r="C34" s="218" t="s">
        <v>241</v>
      </c>
      <c r="D34" s="203"/>
      <c r="E34" s="203"/>
      <c r="F34" s="203"/>
      <c r="G34" s="219"/>
      <c r="H34" s="218" t="s">
        <v>235</v>
      </c>
      <c r="I34" s="203"/>
      <c r="J34" s="203"/>
      <c r="K34" s="203"/>
      <c r="L34" s="203"/>
      <c r="M34" s="218" t="s">
        <v>241</v>
      </c>
      <c r="N34" s="203"/>
      <c r="O34" s="203"/>
      <c r="P34" s="203"/>
      <c r="Q34" s="203"/>
      <c r="R34" s="220" t="s">
        <v>16</v>
      </c>
      <c r="S34" s="221"/>
      <c r="T34" s="221"/>
      <c r="U34" s="221"/>
      <c r="V34" s="221"/>
      <c r="W34" s="212" t="s">
        <v>236</v>
      </c>
      <c r="X34" s="213"/>
      <c r="Y34" s="206">
        <v>3</v>
      </c>
      <c r="Z34" s="208">
        <v>4</v>
      </c>
      <c r="AA34" s="93"/>
      <c r="AB34" s="224"/>
      <c r="AC34" s="224"/>
      <c r="AD34" s="93"/>
      <c r="AF34" s="69"/>
      <c r="AG34" s="69"/>
      <c r="AH34" s="69"/>
      <c r="AI34" s="69"/>
      <c r="AJ34" s="69"/>
      <c r="AK34" s="69"/>
      <c r="AL34" s="69"/>
      <c r="AM34" s="69"/>
      <c r="AN34" s="69"/>
    </row>
    <row r="35" spans="1:40" ht="13.5" customHeight="1">
      <c r="A35" s="217"/>
      <c r="B35" s="84" t="s">
        <v>162</v>
      </c>
      <c r="C35" s="85" t="s">
        <v>226</v>
      </c>
      <c r="D35" s="86" t="s">
        <v>228</v>
      </c>
      <c r="E35" s="86" t="s">
        <v>232</v>
      </c>
      <c r="F35" s="86" t="s">
        <v>259</v>
      </c>
      <c r="G35" s="92" t="s">
        <v>78</v>
      </c>
      <c r="H35" s="85" t="s">
        <v>225</v>
      </c>
      <c r="I35" s="86" t="s">
        <v>238</v>
      </c>
      <c r="J35" s="86" t="s">
        <v>238</v>
      </c>
      <c r="K35" s="86" t="s">
        <v>78</v>
      </c>
      <c r="L35" s="86" t="s">
        <v>78</v>
      </c>
      <c r="M35" s="85" t="s">
        <v>267</v>
      </c>
      <c r="N35" s="86" t="s">
        <v>254</v>
      </c>
      <c r="O35" s="86" t="s">
        <v>240</v>
      </c>
      <c r="P35" s="86" t="s">
        <v>258</v>
      </c>
      <c r="Q35" s="86" t="s">
        <v>78</v>
      </c>
      <c r="R35" s="210" t="s">
        <v>222</v>
      </c>
      <c r="S35" s="211"/>
      <c r="T35" s="211"/>
      <c r="U35" s="211"/>
      <c r="V35" s="211"/>
      <c r="W35" s="214"/>
      <c r="X35" s="215"/>
      <c r="Y35" s="207"/>
      <c r="Z35" s="209"/>
      <c r="AA35" s="93"/>
      <c r="AB35" s="224"/>
      <c r="AC35" s="224"/>
      <c r="AD35" s="93"/>
      <c r="AF35" s="69"/>
      <c r="AG35" s="69"/>
      <c r="AH35" s="69"/>
      <c r="AI35" s="69"/>
      <c r="AJ35" s="69"/>
      <c r="AK35" s="69"/>
      <c r="AL35" s="69"/>
      <c r="AM35" s="69"/>
      <c r="AN35" s="69"/>
    </row>
    <row r="36" spans="1:40" ht="13.5" customHeight="1">
      <c r="A36" s="104"/>
      <c r="B36" s="105"/>
      <c r="C36" s="106"/>
      <c r="D36" s="106"/>
      <c r="E36" s="106"/>
      <c r="F36" s="106"/>
      <c r="G36" s="106"/>
      <c r="H36" s="107"/>
      <c r="I36" s="107"/>
      <c r="J36" s="107"/>
      <c r="K36" s="107"/>
      <c r="L36" s="107"/>
      <c r="M36" s="107"/>
      <c r="N36" s="107"/>
      <c r="O36" s="107"/>
      <c r="P36" s="107"/>
      <c r="Q36" s="107"/>
      <c r="R36" s="107"/>
      <c r="S36" s="107"/>
      <c r="T36" s="107"/>
      <c r="U36" s="107"/>
      <c r="V36" s="107"/>
      <c r="W36" s="108"/>
      <c r="X36" s="109"/>
      <c r="Y36" s="110"/>
      <c r="Z36" s="94"/>
      <c r="AA36" s="93"/>
      <c r="AB36" s="224"/>
      <c r="AC36" s="224"/>
      <c r="AD36" s="93"/>
      <c r="AF36" s="69"/>
      <c r="AG36" s="69"/>
      <c r="AH36" s="69"/>
      <c r="AI36" s="69"/>
      <c r="AJ36" s="69"/>
      <c r="AK36" s="69"/>
      <c r="AL36" s="69"/>
      <c r="AM36" s="69"/>
      <c r="AN36" s="69"/>
    </row>
    <row r="37" spans="1:40" ht="15" customHeight="1">
      <c r="A37" s="75" t="s">
        <v>32</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93"/>
      <c r="AB37" s="224"/>
      <c r="AC37" s="224"/>
      <c r="AD37" s="93"/>
      <c r="AF37" s="69"/>
      <c r="AG37" s="69"/>
      <c r="AH37" s="69"/>
      <c r="AI37" s="69"/>
      <c r="AJ37" s="69"/>
      <c r="AK37" s="69"/>
      <c r="AL37" s="69"/>
      <c r="AM37" s="69"/>
      <c r="AN37" s="69"/>
    </row>
    <row r="38" spans="1:40" ht="13.5" customHeight="1">
      <c r="A38" s="79" t="s">
        <v>9</v>
      </c>
      <c r="B38" s="80" t="s">
        <v>10</v>
      </c>
      <c r="C38" s="232">
        <v>8</v>
      </c>
      <c r="D38" s="233"/>
      <c r="E38" s="233"/>
      <c r="F38" s="233"/>
      <c r="G38" s="234"/>
      <c r="H38" s="232">
        <v>12</v>
      </c>
      <c r="I38" s="233"/>
      <c r="J38" s="233"/>
      <c r="K38" s="233"/>
      <c r="L38" s="233"/>
      <c r="M38" s="232">
        <v>14</v>
      </c>
      <c r="N38" s="233"/>
      <c r="O38" s="233"/>
      <c r="P38" s="233"/>
      <c r="Q38" s="233"/>
      <c r="R38" s="232">
        <v>28</v>
      </c>
      <c r="S38" s="233"/>
      <c r="T38" s="233"/>
      <c r="U38" s="233"/>
      <c r="V38" s="233"/>
      <c r="W38" s="235" t="s">
        <v>11</v>
      </c>
      <c r="X38" s="236"/>
      <c r="Y38" s="81" t="s">
        <v>12</v>
      </c>
      <c r="Z38" s="81" t="s">
        <v>24</v>
      </c>
      <c r="AA38" s="93"/>
      <c r="AB38" s="224"/>
      <c r="AC38" s="224"/>
      <c r="AD38" s="93"/>
      <c r="AF38" s="69"/>
      <c r="AG38" s="69"/>
      <c r="AH38" s="69"/>
      <c r="AI38" s="69"/>
      <c r="AJ38" s="69"/>
      <c r="AK38" s="69"/>
      <c r="AL38" s="69"/>
      <c r="AM38" s="69"/>
      <c r="AN38" s="69"/>
    </row>
    <row r="39" spans="1:40" ht="13.5" customHeight="1">
      <c r="A39" s="231">
        <v>8</v>
      </c>
      <c r="B39" s="82" t="s">
        <v>221</v>
      </c>
      <c r="C39" s="220" t="s">
        <v>16</v>
      </c>
      <c r="D39" s="221"/>
      <c r="E39" s="221"/>
      <c r="F39" s="221"/>
      <c r="G39" s="227"/>
      <c r="H39" s="218" t="s">
        <v>235</v>
      </c>
      <c r="I39" s="203"/>
      <c r="J39" s="203"/>
      <c r="K39" s="203"/>
      <c r="L39" s="203"/>
      <c r="M39" s="265" t="s">
        <v>217</v>
      </c>
      <c r="N39" s="266"/>
      <c r="O39" s="266"/>
      <c r="P39" s="266"/>
      <c r="Q39" s="266"/>
      <c r="R39" s="265" t="s">
        <v>241</v>
      </c>
      <c r="S39" s="266"/>
      <c r="T39" s="266"/>
      <c r="U39" s="266"/>
      <c r="V39" s="266"/>
      <c r="W39" s="228" t="s">
        <v>242</v>
      </c>
      <c r="X39" s="229"/>
      <c r="Y39" s="225">
        <v>4</v>
      </c>
      <c r="Z39" s="226">
        <v>3</v>
      </c>
      <c r="AA39" s="93"/>
      <c r="AB39" s="224"/>
      <c r="AC39" s="224"/>
      <c r="AD39" s="93"/>
      <c r="AF39" s="69"/>
      <c r="AG39" s="69"/>
      <c r="AH39" s="69"/>
      <c r="AI39" s="69"/>
      <c r="AJ39" s="69"/>
      <c r="AK39" s="69"/>
      <c r="AL39" s="69"/>
      <c r="AM39" s="69"/>
      <c r="AN39" s="69"/>
    </row>
    <row r="40" spans="1:40" ht="13.5" customHeight="1">
      <c r="A40" s="217"/>
      <c r="B40" s="84" t="s">
        <v>143</v>
      </c>
      <c r="C40" s="210" t="s">
        <v>222</v>
      </c>
      <c r="D40" s="211"/>
      <c r="E40" s="211"/>
      <c r="F40" s="211"/>
      <c r="G40" s="230"/>
      <c r="H40" s="85" t="s">
        <v>259</v>
      </c>
      <c r="I40" s="86" t="s">
        <v>239</v>
      </c>
      <c r="J40" s="86" t="s">
        <v>239</v>
      </c>
      <c r="K40" s="86" t="s">
        <v>78</v>
      </c>
      <c r="L40" s="86" t="s">
        <v>78</v>
      </c>
      <c r="M40" s="101" t="s">
        <v>245</v>
      </c>
      <c r="N40" s="102" t="s">
        <v>224</v>
      </c>
      <c r="O40" s="102" t="s">
        <v>225</v>
      </c>
      <c r="P40" s="102" t="s">
        <v>233</v>
      </c>
      <c r="Q40" s="102" t="s">
        <v>15</v>
      </c>
      <c r="R40" s="111" t="s">
        <v>239</v>
      </c>
      <c r="S40" s="112" t="s">
        <v>226</v>
      </c>
      <c r="T40" s="112" t="s">
        <v>223</v>
      </c>
      <c r="U40" s="102" t="s">
        <v>226</v>
      </c>
      <c r="V40" s="112" t="s">
        <v>78</v>
      </c>
      <c r="W40" s="214"/>
      <c r="X40" s="215"/>
      <c r="Y40" s="207"/>
      <c r="Z40" s="209"/>
      <c r="AA40" s="93"/>
      <c r="AB40" s="224"/>
      <c r="AC40" s="224"/>
      <c r="AD40" s="93"/>
      <c r="AF40" s="69"/>
      <c r="AG40" s="69"/>
      <c r="AH40" s="69"/>
      <c r="AI40" s="69"/>
      <c r="AJ40" s="69"/>
      <c r="AK40" s="69"/>
      <c r="AL40" s="69"/>
      <c r="AM40" s="69"/>
      <c r="AN40" s="69"/>
    </row>
    <row r="41" spans="1:40" ht="13.5" customHeight="1">
      <c r="A41" s="216">
        <v>12</v>
      </c>
      <c r="B41" s="82" t="s">
        <v>268</v>
      </c>
      <c r="C41" s="218" t="s">
        <v>218</v>
      </c>
      <c r="D41" s="203"/>
      <c r="E41" s="203"/>
      <c r="F41" s="203"/>
      <c r="G41" s="219"/>
      <c r="H41" s="220" t="s">
        <v>16</v>
      </c>
      <c r="I41" s="221"/>
      <c r="J41" s="221"/>
      <c r="K41" s="221"/>
      <c r="L41" s="221"/>
      <c r="M41" s="218" t="s">
        <v>217</v>
      </c>
      <c r="N41" s="203"/>
      <c r="O41" s="203"/>
      <c r="P41" s="203"/>
      <c r="Q41" s="203"/>
      <c r="R41" s="222" t="s">
        <v>230</v>
      </c>
      <c r="S41" s="223"/>
      <c r="T41" s="223"/>
      <c r="U41" s="203"/>
      <c r="V41" s="223"/>
      <c r="W41" s="212" t="s">
        <v>269</v>
      </c>
      <c r="X41" s="213"/>
      <c r="Y41" s="206">
        <v>6</v>
      </c>
      <c r="Z41" s="208">
        <v>1</v>
      </c>
      <c r="AA41" s="93"/>
      <c r="AB41" s="224"/>
      <c r="AC41" s="224"/>
      <c r="AD41" s="93"/>
      <c r="AF41" s="69"/>
      <c r="AG41" s="69"/>
      <c r="AH41" s="69"/>
      <c r="AI41" s="69"/>
      <c r="AJ41" s="69"/>
      <c r="AK41" s="69"/>
      <c r="AL41" s="69"/>
      <c r="AM41" s="69"/>
      <c r="AN41" s="69"/>
    </row>
    <row r="42" spans="1:40" ht="13.5" customHeight="1">
      <c r="A42" s="217"/>
      <c r="B42" s="84" t="s">
        <v>40</v>
      </c>
      <c r="C42" s="85" t="s">
        <v>255</v>
      </c>
      <c r="D42" s="86" t="s">
        <v>244</v>
      </c>
      <c r="E42" s="86" t="s">
        <v>244</v>
      </c>
      <c r="F42" s="86" t="s">
        <v>78</v>
      </c>
      <c r="G42" s="92" t="s">
        <v>78</v>
      </c>
      <c r="H42" s="210" t="s">
        <v>222</v>
      </c>
      <c r="I42" s="211"/>
      <c r="J42" s="211"/>
      <c r="K42" s="211"/>
      <c r="L42" s="211"/>
      <c r="M42" s="85" t="s">
        <v>238</v>
      </c>
      <c r="N42" s="86" t="s">
        <v>238</v>
      </c>
      <c r="O42" s="86" t="s">
        <v>255</v>
      </c>
      <c r="P42" s="86" t="s">
        <v>223</v>
      </c>
      <c r="Q42" s="86" t="s">
        <v>33</v>
      </c>
      <c r="R42" s="85" t="s">
        <v>223</v>
      </c>
      <c r="S42" s="86" t="s">
        <v>233</v>
      </c>
      <c r="T42" s="86" t="s">
        <v>245</v>
      </c>
      <c r="U42" s="86" t="s">
        <v>240</v>
      </c>
      <c r="V42" s="86" t="s">
        <v>78</v>
      </c>
      <c r="W42" s="214"/>
      <c r="X42" s="215"/>
      <c r="Y42" s="207"/>
      <c r="Z42" s="209"/>
      <c r="AA42" s="93"/>
      <c r="AB42" s="224"/>
      <c r="AC42" s="224"/>
      <c r="AD42" s="93"/>
      <c r="AF42" s="69"/>
      <c r="AG42" s="69"/>
      <c r="AH42" s="69"/>
      <c r="AI42" s="69"/>
      <c r="AJ42" s="69"/>
      <c r="AK42" s="69"/>
      <c r="AL42" s="69"/>
      <c r="AM42" s="69"/>
      <c r="AN42" s="69"/>
    </row>
    <row r="43" spans="1:40" ht="13.5" customHeight="1">
      <c r="A43" s="216">
        <v>14</v>
      </c>
      <c r="B43" s="82" t="s">
        <v>248</v>
      </c>
      <c r="C43" s="265" t="s">
        <v>229</v>
      </c>
      <c r="D43" s="266"/>
      <c r="E43" s="266"/>
      <c r="F43" s="266"/>
      <c r="G43" s="267"/>
      <c r="H43" s="218" t="s">
        <v>229</v>
      </c>
      <c r="I43" s="203"/>
      <c r="J43" s="203"/>
      <c r="K43" s="203"/>
      <c r="L43" s="203"/>
      <c r="M43" s="220" t="s">
        <v>16</v>
      </c>
      <c r="N43" s="221"/>
      <c r="O43" s="221"/>
      <c r="P43" s="221"/>
      <c r="Q43" s="221"/>
      <c r="R43" s="268" t="s">
        <v>218</v>
      </c>
      <c r="S43" s="269"/>
      <c r="T43" s="269"/>
      <c r="U43" s="269"/>
      <c r="V43" s="269"/>
      <c r="W43" s="212" t="s">
        <v>270</v>
      </c>
      <c r="X43" s="213"/>
      <c r="Y43" s="206">
        <v>4</v>
      </c>
      <c r="Z43" s="208">
        <v>2</v>
      </c>
      <c r="AA43" s="93"/>
      <c r="AB43" s="224"/>
      <c r="AC43" s="224"/>
      <c r="AD43" s="93"/>
      <c r="AF43" s="69"/>
      <c r="AG43" s="69"/>
      <c r="AH43" s="69"/>
      <c r="AI43" s="69"/>
      <c r="AJ43" s="69"/>
      <c r="AK43" s="69"/>
      <c r="AL43" s="69"/>
      <c r="AM43" s="69"/>
      <c r="AN43" s="69"/>
    </row>
    <row r="44" spans="1:40" ht="13.5" customHeight="1">
      <c r="A44" s="217"/>
      <c r="B44" s="84" t="s">
        <v>37</v>
      </c>
      <c r="C44" s="101" t="s">
        <v>240</v>
      </c>
      <c r="D44" s="102" t="s">
        <v>232</v>
      </c>
      <c r="E44" s="102" t="s">
        <v>223</v>
      </c>
      <c r="F44" s="102" t="s">
        <v>238</v>
      </c>
      <c r="G44" s="103" t="s">
        <v>20</v>
      </c>
      <c r="H44" s="85" t="s">
        <v>233</v>
      </c>
      <c r="I44" s="86" t="s">
        <v>233</v>
      </c>
      <c r="J44" s="86" t="s">
        <v>259</v>
      </c>
      <c r="K44" s="86" t="s">
        <v>225</v>
      </c>
      <c r="L44" s="86" t="s">
        <v>22</v>
      </c>
      <c r="M44" s="210" t="s">
        <v>222</v>
      </c>
      <c r="N44" s="211"/>
      <c r="O44" s="211"/>
      <c r="P44" s="211"/>
      <c r="Q44" s="211"/>
      <c r="R44" s="101" t="s">
        <v>256</v>
      </c>
      <c r="S44" s="102" t="s">
        <v>223</v>
      </c>
      <c r="T44" s="102" t="s">
        <v>233</v>
      </c>
      <c r="U44" s="102" t="s">
        <v>78</v>
      </c>
      <c r="V44" s="102" t="s">
        <v>78</v>
      </c>
      <c r="W44" s="214"/>
      <c r="X44" s="215"/>
      <c r="Y44" s="207"/>
      <c r="Z44" s="209"/>
      <c r="AA44" s="93"/>
      <c r="AB44" s="224"/>
      <c r="AC44" s="224"/>
      <c r="AD44" s="93"/>
      <c r="AF44" s="69"/>
      <c r="AG44" s="69"/>
      <c r="AH44" s="69"/>
      <c r="AI44" s="69"/>
      <c r="AJ44" s="69"/>
      <c r="AK44" s="69"/>
      <c r="AL44" s="69"/>
      <c r="AM44" s="69"/>
      <c r="AN44" s="69"/>
    </row>
    <row r="45" spans="1:40" ht="13.5" customHeight="1">
      <c r="A45" s="216">
        <v>28</v>
      </c>
      <c r="B45" s="82" t="s">
        <v>221</v>
      </c>
      <c r="C45" s="265" t="s">
        <v>230</v>
      </c>
      <c r="D45" s="266"/>
      <c r="E45" s="266"/>
      <c r="F45" s="266"/>
      <c r="G45" s="267"/>
      <c r="H45" s="218" t="s">
        <v>241</v>
      </c>
      <c r="I45" s="203"/>
      <c r="J45" s="203"/>
      <c r="K45" s="203"/>
      <c r="L45" s="203"/>
      <c r="M45" s="265" t="s">
        <v>235</v>
      </c>
      <c r="N45" s="266"/>
      <c r="O45" s="266"/>
      <c r="P45" s="266"/>
      <c r="Q45" s="266"/>
      <c r="R45" s="220" t="s">
        <v>16</v>
      </c>
      <c r="S45" s="221"/>
      <c r="T45" s="221"/>
      <c r="U45" s="221"/>
      <c r="V45" s="221"/>
      <c r="W45" s="212" t="s">
        <v>271</v>
      </c>
      <c r="X45" s="213"/>
      <c r="Y45" s="206">
        <v>4</v>
      </c>
      <c r="Z45" s="208">
        <v>4</v>
      </c>
      <c r="AA45" s="69"/>
      <c r="AB45" s="69"/>
      <c r="AC45" s="69"/>
      <c r="AD45" s="69"/>
      <c r="AE45" s="69"/>
      <c r="AF45" s="69"/>
      <c r="AG45" s="69"/>
      <c r="AH45" s="69"/>
      <c r="AI45" s="69"/>
      <c r="AJ45" s="69"/>
      <c r="AK45" s="69"/>
      <c r="AL45" s="69"/>
      <c r="AM45" s="69"/>
      <c r="AN45" s="69"/>
    </row>
    <row r="46" spans="1:40" ht="13.5" customHeight="1">
      <c r="A46" s="217"/>
      <c r="B46" s="84" t="s">
        <v>124</v>
      </c>
      <c r="C46" s="101" t="s">
        <v>244</v>
      </c>
      <c r="D46" s="102" t="s">
        <v>228</v>
      </c>
      <c r="E46" s="102" t="s">
        <v>225</v>
      </c>
      <c r="F46" s="102" t="s">
        <v>228</v>
      </c>
      <c r="G46" s="103" t="s">
        <v>78</v>
      </c>
      <c r="H46" s="85" t="s">
        <v>225</v>
      </c>
      <c r="I46" s="86" t="s">
        <v>238</v>
      </c>
      <c r="J46" s="86" t="s">
        <v>240</v>
      </c>
      <c r="K46" s="86" t="s">
        <v>245</v>
      </c>
      <c r="L46" s="86" t="s">
        <v>78</v>
      </c>
      <c r="M46" s="101" t="s">
        <v>260</v>
      </c>
      <c r="N46" s="102" t="s">
        <v>225</v>
      </c>
      <c r="O46" s="102" t="s">
        <v>238</v>
      </c>
      <c r="P46" s="102" t="s">
        <v>78</v>
      </c>
      <c r="Q46" s="102" t="s">
        <v>78</v>
      </c>
      <c r="R46" s="210" t="s">
        <v>222</v>
      </c>
      <c r="S46" s="211"/>
      <c r="T46" s="211"/>
      <c r="U46" s="211"/>
      <c r="V46" s="211"/>
      <c r="W46" s="214"/>
      <c r="X46" s="215"/>
      <c r="Y46" s="207"/>
      <c r="Z46" s="209"/>
      <c r="AA46" s="113"/>
      <c r="AB46" s="69"/>
      <c r="AC46" s="69"/>
      <c r="AD46" s="69"/>
      <c r="AE46" s="69"/>
      <c r="AF46" s="69"/>
      <c r="AG46" s="69"/>
      <c r="AH46" s="69"/>
      <c r="AI46" s="69"/>
      <c r="AJ46" s="69"/>
      <c r="AK46" s="69"/>
      <c r="AL46" s="69"/>
      <c r="AM46" s="69"/>
      <c r="AN46" s="69"/>
    </row>
    <row r="47" spans="1:26" ht="17.25" customHeight="1">
      <c r="A47" s="69"/>
      <c r="B47" s="114"/>
      <c r="C47" s="69"/>
      <c r="D47" s="69"/>
      <c r="E47" s="69"/>
      <c r="F47" s="69"/>
      <c r="G47" s="69"/>
      <c r="H47" s="69"/>
      <c r="I47" s="69"/>
      <c r="J47" s="69"/>
      <c r="K47" s="69"/>
      <c r="L47" s="69"/>
      <c r="M47" s="69"/>
      <c r="N47" s="69"/>
      <c r="O47" s="69"/>
      <c r="P47" s="69"/>
      <c r="Q47" s="69"/>
      <c r="R47" s="69"/>
      <c r="S47" s="69"/>
      <c r="T47" s="69"/>
      <c r="U47" s="69"/>
      <c r="V47" s="69"/>
      <c r="W47" s="69"/>
      <c r="X47" s="69"/>
      <c r="Y47" s="74"/>
      <c r="Z47" s="74"/>
    </row>
    <row r="48" spans="1:26" ht="15" customHeight="1">
      <c r="A48" s="95" t="s">
        <v>78</v>
      </c>
      <c r="B48" s="96"/>
      <c r="C48" s="96"/>
      <c r="D48" s="96"/>
      <c r="E48" s="96"/>
      <c r="F48" s="96"/>
      <c r="G48" s="96"/>
      <c r="H48" s="96"/>
      <c r="I48" s="96"/>
      <c r="J48" s="96"/>
      <c r="K48" s="96"/>
      <c r="L48" s="96"/>
      <c r="M48" s="96"/>
      <c r="N48" s="96"/>
      <c r="O48" s="96"/>
      <c r="P48" s="96"/>
      <c r="Q48" s="96"/>
      <c r="R48" s="96"/>
      <c r="S48" s="96"/>
      <c r="T48" s="96"/>
      <c r="U48" s="96"/>
      <c r="V48" s="96"/>
      <c r="W48" s="96"/>
      <c r="X48" s="96"/>
      <c r="Y48" s="96"/>
      <c r="Z48" s="96"/>
    </row>
  </sheetData>
  <sheetProtection sheet="1" formatCells="0" formatColumns="0" formatRows="0" insertColumns="0" insertRows="0" deleteColumns="0" deleteRows="0" autoFilter="0" pivotTables="0"/>
  <mergeCells count="204">
    <mergeCell ref="W45:X46"/>
    <mergeCell ref="Y45:Y46"/>
    <mergeCell ref="Z45:Z46"/>
    <mergeCell ref="R46:V46"/>
    <mergeCell ref="A43:A44"/>
    <mergeCell ref="C43:G43"/>
    <mergeCell ref="H43:L43"/>
    <mergeCell ref="M43:Q43"/>
    <mergeCell ref="R43:V43"/>
    <mergeCell ref="W43:X44"/>
    <mergeCell ref="Y43:Y44"/>
    <mergeCell ref="Z43:Z44"/>
    <mergeCell ref="AB43:AC43"/>
    <mergeCell ref="M44:Q44"/>
    <mergeCell ref="AB44:AC44"/>
    <mergeCell ref="A45:A46"/>
    <mergeCell ref="C45:G45"/>
    <mergeCell ref="H45:L45"/>
    <mergeCell ref="M45:Q45"/>
    <mergeCell ref="R45:V45"/>
    <mergeCell ref="Y41:Y42"/>
    <mergeCell ref="Z41:Z42"/>
    <mergeCell ref="AB41:AC41"/>
    <mergeCell ref="H42:L42"/>
    <mergeCell ref="AB42:AC42"/>
    <mergeCell ref="Y39:Y40"/>
    <mergeCell ref="Z39:Z40"/>
    <mergeCell ref="AB39:AC39"/>
    <mergeCell ref="C39:G39"/>
    <mergeCell ref="H39:L39"/>
    <mergeCell ref="M39:Q39"/>
    <mergeCell ref="R39:V39"/>
    <mergeCell ref="W39:X40"/>
    <mergeCell ref="W41:X42"/>
    <mergeCell ref="R35:V35"/>
    <mergeCell ref="AB35:AC35"/>
    <mergeCell ref="C40:G40"/>
    <mergeCell ref="AB40:AC40"/>
    <mergeCell ref="A41:A42"/>
    <mergeCell ref="C41:G41"/>
    <mergeCell ref="H41:L41"/>
    <mergeCell ref="M41:Q41"/>
    <mergeCell ref="R41:V41"/>
    <mergeCell ref="A39:A40"/>
    <mergeCell ref="AB36:AC36"/>
    <mergeCell ref="AB37:AC37"/>
    <mergeCell ref="W34:X35"/>
    <mergeCell ref="Y34:Y35"/>
    <mergeCell ref="Z34:Z35"/>
    <mergeCell ref="AB34:AC34"/>
    <mergeCell ref="C38:G38"/>
    <mergeCell ref="H38:L38"/>
    <mergeCell ref="M38:Q38"/>
    <mergeCell ref="R38:V38"/>
    <mergeCell ref="W38:X38"/>
    <mergeCell ref="AB38:AC38"/>
    <mergeCell ref="A32:A33"/>
    <mergeCell ref="C32:G32"/>
    <mergeCell ref="H32:L32"/>
    <mergeCell ref="M32:Q32"/>
    <mergeCell ref="R32:V32"/>
    <mergeCell ref="W32:X33"/>
    <mergeCell ref="Y32:Y33"/>
    <mergeCell ref="Z32:Z33"/>
    <mergeCell ref="AB32:AC32"/>
    <mergeCell ref="M33:Q33"/>
    <mergeCell ref="AB33:AC33"/>
    <mergeCell ref="A34:A35"/>
    <mergeCell ref="C34:G34"/>
    <mergeCell ref="H34:L34"/>
    <mergeCell ref="M34:Q34"/>
    <mergeCell ref="R34:V34"/>
    <mergeCell ref="Y30:Y31"/>
    <mergeCell ref="Z30:Z31"/>
    <mergeCell ref="AB30:AC30"/>
    <mergeCell ref="H31:L31"/>
    <mergeCell ref="AB31:AC31"/>
    <mergeCell ref="Y28:Y29"/>
    <mergeCell ref="Z28:Z29"/>
    <mergeCell ref="AB28:AC28"/>
    <mergeCell ref="C28:G28"/>
    <mergeCell ref="H28:L28"/>
    <mergeCell ref="M28:Q28"/>
    <mergeCell ref="R28:V28"/>
    <mergeCell ref="W28:X29"/>
    <mergeCell ref="W30:X31"/>
    <mergeCell ref="R24:V24"/>
    <mergeCell ref="AB24:AC24"/>
    <mergeCell ref="C29:G29"/>
    <mergeCell ref="AB29:AC29"/>
    <mergeCell ref="A30:A31"/>
    <mergeCell ref="C30:G30"/>
    <mergeCell ref="H30:L30"/>
    <mergeCell ref="M30:Q30"/>
    <mergeCell ref="R30:V30"/>
    <mergeCell ref="A28:A29"/>
    <mergeCell ref="AB25:AC25"/>
    <mergeCell ref="AB26:AC26"/>
    <mergeCell ref="W23:X24"/>
    <mergeCell ref="Y23:Y24"/>
    <mergeCell ref="Z23:Z24"/>
    <mergeCell ref="AB23:AC23"/>
    <mergeCell ref="C27:G27"/>
    <mergeCell ref="H27:L27"/>
    <mergeCell ref="M27:Q27"/>
    <mergeCell ref="R27:V27"/>
    <mergeCell ref="W27:X27"/>
    <mergeCell ref="AB27:AC27"/>
    <mergeCell ref="A21:A22"/>
    <mergeCell ref="C21:G21"/>
    <mergeCell ref="H21:L21"/>
    <mergeCell ref="M21:Q21"/>
    <mergeCell ref="R21:V21"/>
    <mergeCell ref="W21:X22"/>
    <mergeCell ref="Y21:Y22"/>
    <mergeCell ref="Z21:Z22"/>
    <mergeCell ref="AB21:AC21"/>
    <mergeCell ref="M22:Q22"/>
    <mergeCell ref="AB22:AC22"/>
    <mergeCell ref="A23:A24"/>
    <mergeCell ref="C23:G23"/>
    <mergeCell ref="H23:L23"/>
    <mergeCell ref="M23:Q23"/>
    <mergeCell ref="R23:V23"/>
    <mergeCell ref="Y19:Y20"/>
    <mergeCell ref="Z19:Z20"/>
    <mergeCell ref="AB19:AC19"/>
    <mergeCell ref="H20:L20"/>
    <mergeCell ref="AB20:AC20"/>
    <mergeCell ref="Y17:Y18"/>
    <mergeCell ref="Z17:Z18"/>
    <mergeCell ref="AB17:AC17"/>
    <mergeCell ref="C17:G17"/>
    <mergeCell ref="H17:L17"/>
    <mergeCell ref="M17:Q17"/>
    <mergeCell ref="R17:V17"/>
    <mergeCell ref="W17:X18"/>
    <mergeCell ref="W19:X20"/>
    <mergeCell ref="R13:V13"/>
    <mergeCell ref="AB13:AC13"/>
    <mergeCell ref="C18:G18"/>
    <mergeCell ref="AB18:AC18"/>
    <mergeCell ref="A19:A20"/>
    <mergeCell ref="C19:G19"/>
    <mergeCell ref="H19:L19"/>
    <mergeCell ref="M19:Q19"/>
    <mergeCell ref="R19:V19"/>
    <mergeCell ref="A17:A18"/>
    <mergeCell ref="AB14:AC14"/>
    <mergeCell ref="AB15:AC15"/>
    <mergeCell ref="W12:X13"/>
    <mergeCell ref="Y12:Y13"/>
    <mergeCell ref="Z12:Z13"/>
    <mergeCell ref="AB12:AC12"/>
    <mergeCell ref="C16:G16"/>
    <mergeCell ref="H16:L16"/>
    <mergeCell ref="M16:Q16"/>
    <mergeCell ref="R16:V16"/>
    <mergeCell ref="W16:X16"/>
    <mergeCell ref="AB16:AC16"/>
    <mergeCell ref="Y10:Y11"/>
    <mergeCell ref="Z10:Z11"/>
    <mergeCell ref="AB10:AC10"/>
    <mergeCell ref="M11:Q11"/>
    <mergeCell ref="AB11:AC11"/>
    <mergeCell ref="A12:A13"/>
    <mergeCell ref="C12:G12"/>
    <mergeCell ref="H12:L12"/>
    <mergeCell ref="M12:Q12"/>
    <mergeCell ref="R12:V12"/>
    <mergeCell ref="Z8:Z9"/>
    <mergeCell ref="AB8:AC8"/>
    <mergeCell ref="H9:L9"/>
    <mergeCell ref="AB9:AC9"/>
    <mergeCell ref="A10:A11"/>
    <mergeCell ref="C10:G10"/>
    <mergeCell ref="H10:L10"/>
    <mergeCell ref="M10:Q10"/>
    <mergeCell ref="R10:V10"/>
    <mergeCell ref="W10:X11"/>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A1:Z1"/>
    <mergeCell ref="E2:R2"/>
    <mergeCell ref="U2:Z2"/>
    <mergeCell ref="C5:G5"/>
    <mergeCell ref="H5:L5"/>
    <mergeCell ref="M5:Q5"/>
    <mergeCell ref="R5:V5"/>
    <mergeCell ref="W5:X5"/>
  </mergeCells>
  <conditionalFormatting sqref="Z6:Z13 Z17:Z24 Z28:Z35 Z39:Z46">
    <cfRule type="cellIs" priority="1" dxfId="896" operator="equal" stopIfTrue="1">
      <formula>1</formula>
    </cfRule>
    <cfRule type="cellIs" priority="2" dxfId="897" operator="equal" stopIfTrue="1">
      <formula>2</formula>
    </cfRule>
  </conditionalFormatting>
  <printOptions horizontalCentered="1"/>
  <pageMargins left="0.1968503937007874" right="0.1968503937007874" top="0.5905511811023623" bottom="0.5905511811023623" header="0" footer="0"/>
  <pageSetup horizontalDpi="600" verticalDpi="6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E22" sqref="E22"/>
    </sheetView>
  </sheetViews>
  <sheetFormatPr defaultColWidth="9.003906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2.25390625" style="20" customWidth="1"/>
    <col min="10" max="16384" width="9.125" style="20" customWidth="1"/>
  </cols>
  <sheetData>
    <row r="1" spans="1:9" ht="27.75" customHeight="1">
      <c r="A1" s="247" t="s">
        <v>73</v>
      </c>
      <c r="B1" s="247"/>
      <c r="C1" s="247"/>
      <c r="D1" s="247"/>
      <c r="E1" s="247"/>
      <c r="F1" s="247"/>
      <c r="G1" s="247"/>
      <c r="H1" s="247"/>
      <c r="I1" s="117"/>
    </row>
    <row r="2" spans="1:12" ht="18.75">
      <c r="A2" s="244" t="s">
        <v>205</v>
      </c>
      <c r="B2" s="244"/>
      <c r="C2" s="244"/>
      <c r="D2" s="244"/>
      <c r="E2" s="244"/>
      <c r="F2" s="244"/>
      <c r="G2" s="244"/>
      <c r="H2" s="244"/>
      <c r="I2" s="118"/>
      <c r="J2" s="73"/>
      <c r="K2" s="73"/>
      <c r="L2" s="73"/>
    </row>
    <row r="3" spans="3:13" ht="15.75">
      <c r="C3" s="22"/>
      <c r="D3" s="24"/>
      <c r="G3" s="119"/>
      <c r="H3" s="120" t="s">
        <v>75</v>
      </c>
      <c r="I3" s="120"/>
      <c r="J3" s="120"/>
      <c r="K3" s="120"/>
      <c r="L3" s="120"/>
      <c r="M3" s="120"/>
    </row>
    <row r="4" spans="1:9" ht="15" customHeight="1">
      <c r="A4" s="121" t="s">
        <v>27</v>
      </c>
      <c r="B4" s="122">
        <v>2</v>
      </c>
      <c r="C4" s="123" t="s">
        <v>206</v>
      </c>
      <c r="D4" s="124"/>
      <c r="E4" s="124"/>
      <c r="F4" s="124"/>
      <c r="G4" s="125"/>
      <c r="H4" s="31"/>
      <c r="I4" s="124"/>
    </row>
    <row r="5" spans="1:9" ht="15" customHeight="1">
      <c r="A5" s="121"/>
      <c r="B5" s="126"/>
      <c r="C5" s="124"/>
      <c r="D5" s="248">
        <v>81</v>
      </c>
      <c r="E5" s="127" t="s">
        <v>34</v>
      </c>
      <c r="F5" s="124"/>
      <c r="G5" s="31"/>
      <c r="H5" s="31"/>
      <c r="I5" s="124"/>
    </row>
    <row r="6" spans="1:19" ht="15" customHeight="1">
      <c r="A6" s="121" t="s">
        <v>33</v>
      </c>
      <c r="B6" s="122">
        <v>11</v>
      </c>
      <c r="C6" s="128" t="s">
        <v>207</v>
      </c>
      <c r="D6" s="249"/>
      <c r="E6" s="37" t="s">
        <v>35</v>
      </c>
      <c r="F6" s="124"/>
      <c r="G6" s="124"/>
      <c r="H6" s="124"/>
      <c r="I6" s="124"/>
      <c r="K6" s="129"/>
      <c r="L6" s="129"/>
      <c r="M6" s="129"/>
      <c r="N6" s="129"/>
      <c r="O6" s="129"/>
      <c r="P6" s="129"/>
      <c r="Q6" s="129"/>
      <c r="R6" s="129"/>
      <c r="S6" s="129"/>
    </row>
    <row r="7" spans="1:19" ht="15" customHeight="1">
      <c r="A7" s="121"/>
      <c r="B7" s="126"/>
      <c r="C7" s="124"/>
      <c r="D7" s="130"/>
      <c r="E7" s="250">
        <v>85</v>
      </c>
      <c r="F7" s="131" t="s">
        <v>34</v>
      </c>
      <c r="G7" s="124"/>
      <c r="H7" s="124"/>
      <c r="I7" s="124"/>
      <c r="K7" s="129"/>
      <c r="L7" s="129"/>
      <c r="M7" s="129"/>
      <c r="N7" s="129"/>
      <c r="O7" s="129"/>
      <c r="P7" s="129"/>
      <c r="Q7" s="129"/>
      <c r="R7" s="129"/>
      <c r="S7" s="129"/>
    </row>
    <row r="8" spans="1:19" ht="15" customHeight="1">
      <c r="A8" s="121" t="s">
        <v>25</v>
      </c>
      <c r="B8" s="122">
        <v>14</v>
      </c>
      <c r="C8" s="128" t="s">
        <v>208</v>
      </c>
      <c r="D8" s="130"/>
      <c r="E8" s="250"/>
      <c r="F8" s="37" t="s">
        <v>36</v>
      </c>
      <c r="G8" s="132"/>
      <c r="H8" s="124"/>
      <c r="I8" s="124"/>
      <c r="K8" s="129"/>
      <c r="L8" s="129"/>
      <c r="M8" s="129"/>
      <c r="N8" s="129"/>
      <c r="O8" s="129"/>
      <c r="P8" s="129"/>
      <c r="Q8" s="129"/>
      <c r="R8" s="129"/>
      <c r="S8" s="129"/>
    </row>
    <row r="9" spans="1:19" ht="15" customHeight="1">
      <c r="A9" s="121"/>
      <c r="B9" s="126"/>
      <c r="C9" s="124"/>
      <c r="D9" s="248">
        <v>82</v>
      </c>
      <c r="E9" s="127" t="s">
        <v>37</v>
      </c>
      <c r="F9" s="133"/>
      <c r="G9" s="132"/>
      <c r="H9" s="124"/>
      <c r="I9" s="124"/>
      <c r="K9" s="129"/>
      <c r="L9" s="129"/>
      <c r="M9" s="129"/>
      <c r="N9" s="129"/>
      <c r="O9" s="129"/>
      <c r="P9" s="129"/>
      <c r="Q9" s="129"/>
      <c r="R9" s="129"/>
      <c r="S9" s="129"/>
    </row>
    <row r="10" spans="1:19" ht="15" customHeight="1">
      <c r="A10" s="121" t="s">
        <v>31</v>
      </c>
      <c r="B10" s="122">
        <v>15</v>
      </c>
      <c r="C10" s="134" t="s">
        <v>209</v>
      </c>
      <c r="D10" s="249"/>
      <c r="E10" s="43" t="s">
        <v>38</v>
      </c>
      <c r="F10" s="121"/>
      <c r="G10" s="132"/>
      <c r="H10" s="124"/>
      <c r="I10" s="124"/>
      <c r="K10" s="129"/>
      <c r="L10" s="129"/>
      <c r="M10" s="129"/>
      <c r="N10" s="129"/>
      <c r="O10" s="129"/>
      <c r="P10" s="129"/>
      <c r="Q10" s="129"/>
      <c r="R10" s="129"/>
      <c r="S10" s="129"/>
    </row>
    <row r="11" spans="1:19" ht="15" customHeight="1">
      <c r="A11" s="121"/>
      <c r="B11" s="126"/>
      <c r="C11" s="124"/>
      <c r="D11" s="130"/>
      <c r="E11" s="135"/>
      <c r="F11" s="250">
        <v>87</v>
      </c>
      <c r="G11" s="136" t="s">
        <v>34</v>
      </c>
      <c r="H11" s="124"/>
      <c r="I11" s="124"/>
      <c r="K11" s="129"/>
      <c r="L11" s="129"/>
      <c r="M11" s="129"/>
      <c r="N11" s="129"/>
      <c r="O11" s="129"/>
      <c r="P11" s="129"/>
      <c r="Q11" s="129"/>
      <c r="R11" s="129"/>
      <c r="S11" s="129"/>
    </row>
    <row r="12" spans="1:19" ht="15" customHeight="1">
      <c r="A12" s="121" t="s">
        <v>19</v>
      </c>
      <c r="B12" s="122">
        <v>12</v>
      </c>
      <c r="C12" s="134" t="s">
        <v>210</v>
      </c>
      <c r="D12" s="130"/>
      <c r="E12" s="135"/>
      <c r="F12" s="250"/>
      <c r="G12" s="137" t="s">
        <v>39</v>
      </c>
      <c r="H12" s="138"/>
      <c r="I12" s="124"/>
      <c r="K12" s="129"/>
      <c r="L12" s="129"/>
      <c r="M12" s="129"/>
      <c r="N12" s="129"/>
      <c r="O12" s="129"/>
      <c r="P12" s="129"/>
      <c r="Q12" s="129"/>
      <c r="R12" s="129"/>
      <c r="S12" s="129"/>
    </row>
    <row r="13" spans="1:19" ht="15" customHeight="1">
      <c r="A13" s="121"/>
      <c r="B13" s="126"/>
      <c r="C13" s="124"/>
      <c r="D13" s="248">
        <v>83</v>
      </c>
      <c r="E13" s="127" t="s">
        <v>40</v>
      </c>
      <c r="F13" s="121"/>
      <c r="G13" s="136"/>
      <c r="H13" s="138"/>
      <c r="I13" s="124"/>
      <c r="K13" s="129"/>
      <c r="L13" s="129"/>
      <c r="M13" s="129"/>
      <c r="N13" s="129"/>
      <c r="O13" s="129"/>
      <c r="P13" s="129"/>
      <c r="Q13" s="129"/>
      <c r="R13" s="129"/>
      <c r="S13" s="129"/>
    </row>
    <row r="14" spans="1:19" ht="15" customHeight="1">
      <c r="A14" s="121" t="s">
        <v>13</v>
      </c>
      <c r="B14" s="122">
        <v>9</v>
      </c>
      <c r="C14" s="128" t="s">
        <v>211</v>
      </c>
      <c r="D14" s="249"/>
      <c r="E14" s="37" t="s">
        <v>41</v>
      </c>
      <c r="F14" s="133"/>
      <c r="G14" s="136"/>
      <c r="H14" s="138"/>
      <c r="I14" s="124"/>
      <c r="K14" s="129"/>
      <c r="L14" s="129"/>
      <c r="M14" s="129"/>
      <c r="N14" s="129"/>
      <c r="O14" s="129"/>
      <c r="P14" s="129"/>
      <c r="Q14" s="129"/>
      <c r="R14" s="129"/>
      <c r="S14" s="129"/>
    </row>
    <row r="15" spans="1:19" ht="15" customHeight="1">
      <c r="A15" s="121"/>
      <c r="B15" s="126"/>
      <c r="C15" s="124"/>
      <c r="D15" s="130"/>
      <c r="E15" s="250">
        <v>86</v>
      </c>
      <c r="F15" s="139" t="s">
        <v>42</v>
      </c>
      <c r="G15" s="136"/>
      <c r="H15" s="138"/>
      <c r="I15" s="124"/>
      <c r="K15" s="129"/>
      <c r="L15" s="129"/>
      <c r="M15" s="129"/>
      <c r="N15" s="129"/>
      <c r="O15" s="129"/>
      <c r="P15" s="129"/>
      <c r="Q15" s="129"/>
      <c r="R15" s="129"/>
      <c r="S15" s="129"/>
    </row>
    <row r="16" spans="1:19" ht="15" customHeight="1">
      <c r="A16" s="121" t="s">
        <v>14</v>
      </c>
      <c r="B16" s="122">
        <v>10</v>
      </c>
      <c r="C16" s="128" t="s">
        <v>212</v>
      </c>
      <c r="D16" s="140"/>
      <c r="E16" s="250"/>
      <c r="F16" s="141" t="s">
        <v>43</v>
      </c>
      <c r="G16" s="142"/>
      <c r="H16" s="138"/>
      <c r="I16" s="124"/>
      <c r="K16" s="129"/>
      <c r="L16" s="129"/>
      <c r="M16" s="129"/>
      <c r="N16" s="129"/>
      <c r="O16" s="129"/>
      <c r="P16" s="129"/>
      <c r="Q16" s="129"/>
      <c r="R16" s="129"/>
      <c r="S16" s="129"/>
    </row>
    <row r="17" spans="1:19" ht="15" customHeight="1">
      <c r="A17" s="121"/>
      <c r="B17" s="126"/>
      <c r="C17" s="124"/>
      <c r="D17" s="248">
        <v>84</v>
      </c>
      <c r="E17" s="127" t="s">
        <v>42</v>
      </c>
      <c r="F17" s="143"/>
      <c r="G17" s="142"/>
      <c r="H17" s="138"/>
      <c r="I17" s="124"/>
      <c r="K17" s="129"/>
      <c r="L17" s="129"/>
      <c r="M17" s="129"/>
      <c r="N17" s="129"/>
      <c r="O17" s="129"/>
      <c r="P17" s="129"/>
      <c r="Q17" s="129"/>
      <c r="R17" s="129"/>
      <c r="S17" s="129"/>
    </row>
    <row r="18" spans="1:19" ht="15" customHeight="1">
      <c r="A18" s="121" t="s">
        <v>17</v>
      </c>
      <c r="B18" s="122">
        <v>4</v>
      </c>
      <c r="C18" s="123" t="s">
        <v>213</v>
      </c>
      <c r="D18" s="249"/>
      <c r="E18" s="43" t="s">
        <v>44</v>
      </c>
      <c r="F18" s="121"/>
      <c r="G18" s="142"/>
      <c r="H18" s="138"/>
      <c r="I18" s="124"/>
      <c r="K18" s="129"/>
      <c r="L18" s="129"/>
      <c r="M18" s="129"/>
      <c r="N18" s="129"/>
      <c r="O18" s="129"/>
      <c r="P18" s="129"/>
      <c r="Q18" s="129"/>
      <c r="R18" s="129"/>
      <c r="S18" s="129"/>
    </row>
    <row r="19" spans="1:19" ht="15" customHeight="1">
      <c r="A19" s="121"/>
      <c r="B19" s="126"/>
      <c r="C19" s="138"/>
      <c r="D19" s="144"/>
      <c r="E19" s="138"/>
      <c r="F19" s="145"/>
      <c r="G19" s="246" t="s">
        <v>78</v>
      </c>
      <c r="H19" s="146" t="s">
        <v>78</v>
      </c>
      <c r="I19" s="146"/>
      <c r="K19" s="129"/>
      <c r="L19" s="129"/>
      <c r="M19" s="129"/>
      <c r="N19" s="129"/>
      <c r="O19" s="129"/>
      <c r="P19" s="129"/>
      <c r="Q19" s="129"/>
      <c r="R19" s="129"/>
      <c r="S19" s="129"/>
    </row>
    <row r="20" spans="1:9" ht="15" customHeight="1">
      <c r="A20" s="121" t="s">
        <v>78</v>
      </c>
      <c r="B20" s="147" t="s">
        <v>78</v>
      </c>
      <c r="C20" s="138" t="s">
        <v>78</v>
      </c>
      <c r="D20" s="144"/>
      <c r="E20" s="148"/>
      <c r="F20" s="138"/>
      <c r="G20" s="246"/>
      <c r="H20" s="145" t="s">
        <v>78</v>
      </c>
      <c r="I20" s="121"/>
    </row>
    <row r="21" spans="1:9" ht="15" customHeight="1">
      <c r="A21" s="121"/>
      <c r="B21" s="126"/>
      <c r="C21" s="138"/>
      <c r="D21" s="245" t="s">
        <v>78</v>
      </c>
      <c r="E21" s="145" t="s">
        <v>78</v>
      </c>
      <c r="F21" s="138"/>
      <c r="G21" s="145"/>
      <c r="H21" s="138"/>
      <c r="I21" s="142"/>
    </row>
    <row r="22" spans="1:9" ht="15" customHeight="1">
      <c r="A22" s="121" t="s">
        <v>78</v>
      </c>
      <c r="B22" s="147" t="s">
        <v>78</v>
      </c>
      <c r="C22" s="138" t="s">
        <v>78</v>
      </c>
      <c r="D22" s="245"/>
      <c r="E22" s="40" t="s">
        <v>78</v>
      </c>
      <c r="F22" s="138"/>
      <c r="G22" s="145"/>
      <c r="H22" s="138"/>
      <c r="I22" s="142"/>
    </row>
    <row r="23" spans="1:9" ht="15" customHeight="1">
      <c r="A23" s="121"/>
      <c r="B23" s="126"/>
      <c r="C23" s="138"/>
      <c r="D23" s="149"/>
      <c r="E23" s="246" t="s">
        <v>78</v>
      </c>
      <c r="F23" s="145" t="s">
        <v>78</v>
      </c>
      <c r="G23" s="145"/>
      <c r="H23" s="138"/>
      <c r="I23" s="142"/>
    </row>
    <row r="24" spans="1:9" ht="15" customHeight="1">
      <c r="A24" s="121" t="s">
        <v>78</v>
      </c>
      <c r="B24" s="147" t="s">
        <v>78</v>
      </c>
      <c r="C24" s="138" t="s">
        <v>78</v>
      </c>
      <c r="D24" s="149"/>
      <c r="E24" s="246"/>
      <c r="F24" s="40" t="s">
        <v>78</v>
      </c>
      <c r="G24" s="138"/>
      <c r="H24" s="138"/>
      <c r="I24" s="142"/>
    </row>
    <row r="25" spans="1:9" ht="15" customHeight="1">
      <c r="A25" s="121"/>
      <c r="B25" s="126"/>
      <c r="C25" s="138"/>
      <c r="D25" s="245" t="s">
        <v>78</v>
      </c>
      <c r="E25" s="145" t="s">
        <v>78</v>
      </c>
      <c r="F25" s="138"/>
      <c r="G25" s="138"/>
      <c r="H25" s="138"/>
      <c r="I25" s="142"/>
    </row>
    <row r="26" spans="1:9" ht="15" customHeight="1">
      <c r="A26" s="121" t="s">
        <v>78</v>
      </c>
      <c r="B26" s="147" t="s">
        <v>78</v>
      </c>
      <c r="C26" s="138" t="s">
        <v>78</v>
      </c>
      <c r="D26" s="245"/>
      <c r="E26" s="40" t="s">
        <v>78</v>
      </c>
      <c r="F26" s="138"/>
      <c r="G26" s="138"/>
      <c r="H26" s="138"/>
      <c r="I26" s="142"/>
    </row>
    <row r="27" spans="1:9" ht="15" customHeight="1">
      <c r="A27" s="121"/>
      <c r="B27" s="126"/>
      <c r="C27" s="138"/>
      <c r="D27" s="149"/>
      <c r="E27" s="145"/>
      <c r="F27" s="246" t="s">
        <v>78</v>
      </c>
      <c r="G27" s="145" t="s">
        <v>78</v>
      </c>
      <c r="H27" s="138"/>
      <c r="I27" s="142"/>
    </row>
    <row r="28" spans="1:9" ht="15" customHeight="1">
      <c r="A28" s="121" t="s">
        <v>78</v>
      </c>
      <c r="B28" s="147" t="s">
        <v>78</v>
      </c>
      <c r="C28" s="138" t="s">
        <v>78</v>
      </c>
      <c r="D28" s="144"/>
      <c r="E28" s="138"/>
      <c r="F28" s="246"/>
      <c r="G28" s="40" t="s">
        <v>78</v>
      </c>
      <c r="H28" s="146"/>
      <c r="I28" s="142"/>
    </row>
    <row r="29" spans="1:9" ht="15" customHeight="1">
      <c r="A29" s="121"/>
      <c r="B29" s="126"/>
      <c r="C29" s="138"/>
      <c r="D29" s="245" t="s">
        <v>78</v>
      </c>
      <c r="E29" s="145" t="s">
        <v>78</v>
      </c>
      <c r="F29" s="148"/>
      <c r="G29" s="138"/>
      <c r="H29" s="145"/>
      <c r="I29" s="142"/>
    </row>
    <row r="30" spans="1:9" ht="15" customHeight="1">
      <c r="A30" s="121" t="s">
        <v>78</v>
      </c>
      <c r="B30" s="147" t="s">
        <v>78</v>
      </c>
      <c r="C30" s="138" t="s">
        <v>78</v>
      </c>
      <c r="D30" s="245"/>
      <c r="E30" s="40" t="s">
        <v>78</v>
      </c>
      <c r="F30" s="148"/>
      <c r="G30" s="138"/>
      <c r="H30" s="145"/>
      <c r="I30" s="142"/>
    </row>
    <row r="31" spans="1:9" ht="15" customHeight="1">
      <c r="A31" s="121"/>
      <c r="B31" s="126"/>
      <c r="C31" s="138"/>
      <c r="D31" s="144"/>
      <c r="E31" s="246" t="s">
        <v>78</v>
      </c>
      <c r="F31" s="145" t="s">
        <v>78</v>
      </c>
      <c r="G31" s="138"/>
      <c r="H31" s="145"/>
      <c r="I31" s="142"/>
    </row>
    <row r="32" spans="1:9" ht="15" customHeight="1">
      <c r="A32" s="121" t="s">
        <v>78</v>
      </c>
      <c r="B32" s="147" t="s">
        <v>78</v>
      </c>
      <c r="C32" s="138" t="s">
        <v>78</v>
      </c>
      <c r="D32" s="144"/>
      <c r="E32" s="246"/>
      <c r="F32" s="40" t="s">
        <v>78</v>
      </c>
      <c r="G32" s="138"/>
      <c r="H32" s="31"/>
      <c r="I32" s="142"/>
    </row>
    <row r="33" spans="1:9" ht="15" customHeight="1">
      <c r="A33" s="121"/>
      <c r="B33" s="126"/>
      <c r="C33" s="138"/>
      <c r="D33" s="245" t="s">
        <v>78</v>
      </c>
      <c r="E33" s="145" t="s">
        <v>78</v>
      </c>
      <c r="F33" s="148"/>
      <c r="G33" s="138"/>
      <c r="H33" s="145"/>
      <c r="I33" s="142"/>
    </row>
    <row r="34" spans="1:9" ht="15" customHeight="1">
      <c r="A34" s="121" t="s">
        <v>78</v>
      </c>
      <c r="B34" s="147" t="s">
        <v>78</v>
      </c>
      <c r="C34" s="138" t="s">
        <v>78</v>
      </c>
      <c r="D34" s="245"/>
      <c r="E34" s="40" t="s">
        <v>78</v>
      </c>
      <c r="F34" s="148"/>
      <c r="G34" s="138"/>
      <c r="H34" s="145"/>
      <c r="I34" s="142"/>
    </row>
    <row r="35" spans="1:9" ht="15.75">
      <c r="A35" s="131"/>
      <c r="B35" s="126"/>
      <c r="C35" s="124"/>
      <c r="D35" s="124"/>
      <c r="E35" s="124"/>
      <c r="F35" s="124"/>
      <c r="G35" s="124"/>
      <c r="H35" s="124"/>
      <c r="I35" s="124"/>
    </row>
  </sheetData>
  <sheetProtection sheet="1" formatCells="0" formatColumns="0" formatRows="0" insertColumns="0" insertRows="0" deleteColumns="0" deleteRows="0" sort="0" pivotTables="0"/>
  <mergeCells count="17">
    <mergeCell ref="D33:D34"/>
    <mergeCell ref="G19:G20"/>
    <mergeCell ref="D21:D22"/>
    <mergeCell ref="D25:D26"/>
    <mergeCell ref="F27:F28"/>
    <mergeCell ref="D29:D30"/>
    <mergeCell ref="E31:E32"/>
    <mergeCell ref="E23:E24"/>
    <mergeCell ref="A1:H1"/>
    <mergeCell ref="A2:H2"/>
    <mergeCell ref="D5:D6"/>
    <mergeCell ref="E7:E8"/>
    <mergeCell ref="D9:D10"/>
    <mergeCell ref="F11:F12"/>
    <mergeCell ref="D13:D14"/>
    <mergeCell ref="E15:E16"/>
    <mergeCell ref="D17:D18"/>
  </mergeCells>
  <conditionalFormatting sqref="B20 B22 B24 B26 B28 B30 B32 B34">
    <cfRule type="expression" priority="1" dxfId="333" stopIfTrue="1">
      <formula>$A$20="9"</formula>
    </cfRule>
  </conditionalFormatting>
  <conditionalFormatting sqref="C20 C34">
    <cfRule type="expression" priority="2" dxfId="905" stopIfTrue="1">
      <formula>$A$20="9"</formula>
    </cfRule>
  </conditionalFormatting>
  <conditionalFormatting sqref="C22 C24 C30 C32 E21 E29">
    <cfRule type="expression" priority="3" dxfId="888" stopIfTrue="1">
      <formula>$A$20="9"</formula>
    </cfRule>
  </conditionalFormatting>
  <conditionalFormatting sqref="C26 C28">
    <cfRule type="expression" priority="4" dxfId="906" stopIfTrue="1">
      <formula>$A$20="9"</formula>
    </cfRule>
  </conditionalFormatting>
  <conditionalFormatting sqref="D21:D22 D25:D26 D29:D30 D33:D34">
    <cfRule type="expression" priority="5" dxfId="907" stopIfTrue="1">
      <formula>$A$20="9"</formula>
    </cfRule>
  </conditionalFormatting>
  <conditionalFormatting sqref="E22 E30:F30 F25:F29 G12:G18 G21:G26">
    <cfRule type="expression" priority="6" dxfId="886" stopIfTrue="1">
      <formula>$A$20="9"</formula>
    </cfRule>
  </conditionalFormatting>
  <conditionalFormatting sqref="E25 E33 G27">
    <cfRule type="expression" priority="7" dxfId="889" stopIfTrue="1">
      <formula>$A$20="9"</formula>
    </cfRule>
  </conditionalFormatting>
  <conditionalFormatting sqref="F23">
    <cfRule type="expression" priority="8" dxfId="891" stopIfTrue="1">
      <formula>$A$20="9"</formula>
    </cfRule>
  </conditionalFormatting>
  <conditionalFormatting sqref="F24">
    <cfRule type="expression" priority="9" dxfId="911" stopIfTrue="1">
      <formula>$A$20="9"</formula>
    </cfRule>
  </conditionalFormatting>
  <conditionalFormatting sqref="F32">
    <cfRule type="expression" priority="10" dxfId="908" stopIfTrue="1">
      <formula>$A$20="9"</formula>
    </cfRule>
  </conditionalFormatting>
  <conditionalFormatting sqref="F31">
    <cfRule type="expression" priority="11" dxfId="909" stopIfTrue="1">
      <formula>$A$20="9"</formula>
    </cfRule>
  </conditionalFormatting>
  <conditionalFormatting sqref="H19">
    <cfRule type="expression" priority="12" dxfId="892" stopIfTrue="1">
      <formula>$A$20="9"</formula>
    </cfRule>
  </conditionalFormatting>
  <conditionalFormatting sqref="G19:G20">
    <cfRule type="expression" priority="13" dxfId="910" stopIfTrue="1">
      <formula>$A$20="9"</formula>
    </cfRule>
  </conditionalFormatting>
  <conditionalFormatting sqref="G11">
    <cfRule type="expression" priority="14" dxfId="888" stopIfTrue="1">
      <formula>$A$20="9"</formula>
    </cfRule>
    <cfRule type="expression" priority="15" dxfId="892" stopIfTrue="1">
      <formula>$A$4="1"</formula>
    </cfRule>
  </conditionalFormatting>
  <conditionalFormatting sqref="F11:F12">
    <cfRule type="expression" priority="16" dxfId="886" stopIfTrue="1">
      <formula>$A$20="9"</formula>
    </cfRule>
    <cfRule type="expression" priority="17" dxfId="910" stopIfTrue="1">
      <formula>$A$4="1"</formula>
    </cfRule>
  </conditionalFormatting>
  <printOptions horizontalCentered="1" verticalCentered="1"/>
  <pageMargins left="0.3937007874015748" right="0.5905511811023623" top="0.3937007874015748" bottom="0.3937007874015748" header="0" footer="0"/>
  <pageSetup fitToHeight="0" horizontalDpi="600" verticalDpi="600" orientation="landscape" paperSize="245" scale="92"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H18"/>
  <sheetViews>
    <sheetView zoomScalePageLayoutView="0" workbookViewId="0" topLeftCell="A1">
      <selection activeCell="F21" sqref="F21"/>
    </sheetView>
  </sheetViews>
  <sheetFormatPr defaultColWidth="9.00390625" defaultRowHeight="12.75"/>
  <cols>
    <col min="1" max="1" width="2.125" style="0" bestFit="1" customWidth="1"/>
    <col min="2" max="2" width="3.25390625" style="0" bestFit="1" customWidth="1"/>
    <col min="3" max="3" width="40.125" style="0" bestFit="1" customWidth="1"/>
    <col min="4" max="4" width="3.25390625" style="0" bestFit="1" customWidth="1"/>
    <col min="5" max="6" width="18.25390625" style="0" bestFit="1" customWidth="1"/>
    <col min="7" max="7" width="17.375" style="0" bestFit="1" customWidth="1"/>
    <col min="8" max="8" width="23.625" style="0" bestFit="1" customWidth="1"/>
  </cols>
  <sheetData>
    <row r="1" spans="1:8" ht="30">
      <c r="A1" s="251" t="s">
        <v>73</v>
      </c>
      <c r="B1" s="251"/>
      <c r="C1" s="251"/>
      <c r="D1" s="251"/>
      <c r="E1" s="251"/>
      <c r="F1" s="251"/>
      <c r="G1" s="251"/>
      <c r="H1" s="251"/>
    </row>
    <row r="2" spans="1:8" ht="18.75">
      <c r="A2" s="244" t="s">
        <v>315</v>
      </c>
      <c r="B2" s="244"/>
      <c r="C2" s="244"/>
      <c r="D2" s="244"/>
      <c r="E2" s="244"/>
      <c r="F2" s="244"/>
      <c r="G2" s="244"/>
      <c r="H2" s="244"/>
    </row>
    <row r="3" spans="1:8" ht="15.75">
      <c r="A3" s="41"/>
      <c r="B3" s="23"/>
      <c r="C3" s="22"/>
      <c r="D3" s="24"/>
      <c r="E3" s="20"/>
      <c r="F3" s="20"/>
      <c r="G3" s="119"/>
      <c r="H3" s="120" t="s">
        <v>75</v>
      </c>
    </row>
    <row r="4" spans="1:8" ht="15.75">
      <c r="A4" s="121" t="s">
        <v>27</v>
      </c>
      <c r="B4" s="122">
        <v>22</v>
      </c>
      <c r="C4" s="123" t="s">
        <v>316</v>
      </c>
      <c r="D4" s="124"/>
      <c r="E4" s="124"/>
      <c r="F4" s="124"/>
      <c r="G4" s="125"/>
      <c r="H4" s="31"/>
    </row>
    <row r="5" spans="1:8" ht="15.75">
      <c r="A5" s="121"/>
      <c r="B5" s="126"/>
      <c r="C5" s="124"/>
      <c r="D5" s="248">
        <v>81</v>
      </c>
      <c r="E5" s="127" t="s">
        <v>123</v>
      </c>
      <c r="F5" s="124"/>
      <c r="G5" s="31"/>
      <c r="H5" s="31"/>
    </row>
    <row r="6" spans="1:8" ht="15.75">
      <c r="A6" s="121" t="s">
        <v>33</v>
      </c>
      <c r="B6" s="122">
        <v>85</v>
      </c>
      <c r="C6" s="128" t="s">
        <v>317</v>
      </c>
      <c r="D6" s="249"/>
      <c r="E6" s="37" t="s">
        <v>318</v>
      </c>
      <c r="F6" s="124"/>
      <c r="G6" s="124"/>
      <c r="H6" s="124"/>
    </row>
    <row r="7" spans="1:8" ht="15.75">
      <c r="A7" s="121"/>
      <c r="B7" s="126"/>
      <c r="C7" s="124"/>
      <c r="D7" s="130"/>
      <c r="E7" s="250">
        <v>85</v>
      </c>
      <c r="F7" s="131" t="s">
        <v>99</v>
      </c>
      <c r="G7" s="124"/>
      <c r="H7" s="124"/>
    </row>
    <row r="8" spans="1:8" ht="15.75">
      <c r="A8" s="121" t="s">
        <v>25</v>
      </c>
      <c r="B8" s="122">
        <v>29</v>
      </c>
      <c r="C8" s="128" t="s">
        <v>319</v>
      </c>
      <c r="D8" s="130"/>
      <c r="E8" s="250"/>
      <c r="F8" s="37" t="s">
        <v>320</v>
      </c>
      <c r="G8" s="132"/>
      <c r="H8" s="124"/>
    </row>
    <row r="9" spans="1:8" ht="15.75">
      <c r="A9" s="121"/>
      <c r="B9" s="126"/>
      <c r="C9" s="124"/>
      <c r="D9" s="248">
        <v>82</v>
      </c>
      <c r="E9" s="127" t="s">
        <v>99</v>
      </c>
      <c r="F9" s="133"/>
      <c r="G9" s="132"/>
      <c r="H9" s="124"/>
    </row>
    <row r="10" spans="1:8" ht="15.75">
      <c r="A10" s="121" t="s">
        <v>31</v>
      </c>
      <c r="B10" s="122">
        <v>27</v>
      </c>
      <c r="C10" s="134" t="s">
        <v>321</v>
      </c>
      <c r="D10" s="249"/>
      <c r="E10" s="43" t="s">
        <v>322</v>
      </c>
      <c r="F10" s="121"/>
      <c r="G10" s="132"/>
      <c r="H10" s="124"/>
    </row>
    <row r="11" spans="1:8" ht="15.75">
      <c r="A11" s="121"/>
      <c r="B11" s="126"/>
      <c r="C11" s="124"/>
      <c r="D11" s="130"/>
      <c r="E11" s="135"/>
      <c r="F11" s="250">
        <v>87</v>
      </c>
      <c r="G11" s="136" t="s">
        <v>99</v>
      </c>
      <c r="H11" s="124"/>
    </row>
    <row r="12" spans="1:8" ht="15.75">
      <c r="A12" s="121" t="s">
        <v>19</v>
      </c>
      <c r="B12" s="122">
        <v>13</v>
      </c>
      <c r="C12" s="134" t="s">
        <v>273</v>
      </c>
      <c r="D12" s="130"/>
      <c r="E12" s="135"/>
      <c r="F12" s="250"/>
      <c r="G12" s="137" t="s">
        <v>323</v>
      </c>
      <c r="H12" s="138"/>
    </row>
    <row r="13" spans="1:8" ht="15.75">
      <c r="A13" s="121"/>
      <c r="B13" s="126"/>
      <c r="C13" s="124"/>
      <c r="D13" s="248">
        <v>83</v>
      </c>
      <c r="E13" s="127" t="s">
        <v>97</v>
      </c>
      <c r="F13" s="121"/>
      <c r="G13" s="136"/>
      <c r="H13" s="138"/>
    </row>
    <row r="14" spans="1:8" ht="15.75">
      <c r="A14" s="121" t="s">
        <v>13</v>
      </c>
      <c r="B14" s="122">
        <v>54</v>
      </c>
      <c r="C14" s="128" t="s">
        <v>324</v>
      </c>
      <c r="D14" s="249"/>
      <c r="E14" s="37" t="s">
        <v>325</v>
      </c>
      <c r="F14" s="133"/>
      <c r="G14" s="136"/>
      <c r="H14" s="138"/>
    </row>
    <row r="15" spans="1:8" ht="15.75">
      <c r="A15" s="121"/>
      <c r="B15" s="126"/>
      <c r="C15" s="124"/>
      <c r="D15" s="130"/>
      <c r="E15" s="250">
        <v>86</v>
      </c>
      <c r="F15" s="139" t="s">
        <v>97</v>
      </c>
      <c r="G15" s="136"/>
      <c r="H15" s="138"/>
    </row>
    <row r="16" spans="1:8" ht="15.75">
      <c r="A16" s="121" t="s">
        <v>14</v>
      </c>
      <c r="B16" s="122">
        <v>39</v>
      </c>
      <c r="C16" s="128" t="s">
        <v>326</v>
      </c>
      <c r="D16" s="140"/>
      <c r="E16" s="250"/>
      <c r="F16" s="141" t="s">
        <v>327</v>
      </c>
      <c r="G16" s="142"/>
      <c r="H16" s="138"/>
    </row>
    <row r="17" spans="1:8" ht="15.75">
      <c r="A17" s="121"/>
      <c r="B17" s="126"/>
      <c r="C17" s="124"/>
      <c r="D17" s="248">
        <v>84</v>
      </c>
      <c r="E17" s="127" t="s">
        <v>83</v>
      </c>
      <c r="F17" s="143"/>
      <c r="G17" s="142"/>
      <c r="H17" s="138"/>
    </row>
    <row r="18" spans="1:8" ht="15.75">
      <c r="A18" s="121" t="s">
        <v>17</v>
      </c>
      <c r="B18" s="122">
        <v>23</v>
      </c>
      <c r="C18" s="123" t="s">
        <v>279</v>
      </c>
      <c r="D18" s="249"/>
      <c r="E18" s="43" t="s">
        <v>328</v>
      </c>
      <c r="F18" s="121"/>
      <c r="G18" s="142"/>
      <c r="H18" s="138"/>
    </row>
  </sheetData>
  <sheetProtection/>
  <mergeCells count="9">
    <mergeCell ref="D13:D14"/>
    <mergeCell ref="E15:E16"/>
    <mergeCell ref="D17:D18"/>
    <mergeCell ref="A1:H1"/>
    <mergeCell ref="A2:H2"/>
    <mergeCell ref="D5:D6"/>
    <mergeCell ref="E7:E8"/>
    <mergeCell ref="D9:D10"/>
    <mergeCell ref="F11:F12"/>
  </mergeCells>
  <conditionalFormatting sqref="G12:G18">
    <cfRule type="expression" priority="1" dxfId="886" stopIfTrue="1">
      <formula>$A$20="9"</formula>
    </cfRule>
  </conditionalFormatting>
  <conditionalFormatting sqref="G11">
    <cfRule type="expression" priority="2" dxfId="888" stopIfTrue="1">
      <formula>$A$20="9"</formula>
    </cfRule>
    <cfRule type="expression" priority="3" dxfId="892" stopIfTrue="1">
      <formula>$A$4="1"</formula>
    </cfRule>
  </conditionalFormatting>
  <conditionalFormatting sqref="F11:F12">
    <cfRule type="expression" priority="4" dxfId="886" stopIfTrue="1">
      <formula>$A$20="9"</formula>
    </cfRule>
    <cfRule type="expression" priority="5" dxfId="910" stopIfTrue="1">
      <formula>$A$4="1"</formula>
    </cfRule>
  </conditionalFormatting>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52"/>
    <pageSetUpPr fitToPage="1"/>
  </sheetPr>
  <dimension ref="A1:O311"/>
  <sheetViews>
    <sheetView showGridLines="0" tabSelected="1" view="pageBreakPreview" zoomScaleNormal="75" zoomScaleSheetLayoutView="100" zoomScalePageLayoutView="0" workbookViewId="0" topLeftCell="A33">
      <selection activeCell="G48" sqref="G48"/>
    </sheetView>
  </sheetViews>
  <sheetFormatPr defaultColWidth="9.00390625" defaultRowHeight="12.75"/>
  <cols>
    <col min="1" max="1" width="4.875" style="41" customWidth="1"/>
    <col min="2" max="2" width="4.125" style="23" customWidth="1"/>
    <col min="3" max="3" width="32.625" style="20" customWidth="1"/>
    <col min="4" max="4" width="5.125" style="22" customWidth="1"/>
    <col min="5" max="7" width="15.75390625" style="20" customWidth="1"/>
    <col min="8" max="8" width="17.00390625" style="25" customWidth="1"/>
    <col min="9" max="9" width="0.875" style="20" customWidth="1"/>
    <col min="10" max="16384" width="9.125" style="20" customWidth="1"/>
  </cols>
  <sheetData>
    <row r="1" spans="1:11" ht="22.5" customHeight="1">
      <c r="A1" s="196" t="s">
        <v>73</v>
      </c>
      <c r="B1" s="196"/>
      <c r="C1" s="196"/>
      <c r="D1" s="196"/>
      <c r="E1" s="196"/>
      <c r="F1" s="196"/>
      <c r="G1" s="196"/>
      <c r="H1" s="196"/>
      <c r="K1" s="21"/>
    </row>
    <row r="2" spans="1:8" ht="17.25" customHeight="1">
      <c r="A2" s="244" t="s">
        <v>45</v>
      </c>
      <c r="B2" s="244"/>
      <c r="C2" s="244"/>
      <c r="D2" s="244"/>
      <c r="E2" s="244"/>
      <c r="F2" s="244"/>
      <c r="G2" s="244"/>
      <c r="H2" s="244"/>
    </row>
    <row r="3" spans="3:8" ht="13.5" customHeight="1">
      <c r="C3" s="22"/>
      <c r="D3" s="24"/>
      <c r="G3" s="197" t="s">
        <v>75</v>
      </c>
      <c r="H3" s="197"/>
    </row>
    <row r="4" spans="1:10" ht="12.75" customHeight="1">
      <c r="A4" s="54">
        <v>1</v>
      </c>
      <c r="B4" s="66">
        <v>16</v>
      </c>
      <c r="C4" s="38" t="s">
        <v>168</v>
      </c>
      <c r="D4" s="27"/>
      <c r="E4" s="27"/>
      <c r="F4" s="27"/>
      <c r="G4" s="35"/>
      <c r="H4" s="150" t="s">
        <v>46</v>
      </c>
      <c r="J4" s="21"/>
    </row>
    <row r="5" spans="1:10" ht="12.75" customHeight="1">
      <c r="A5" s="54"/>
      <c r="B5" s="66"/>
      <c r="C5" s="27"/>
      <c r="D5" s="188">
        <v>89</v>
      </c>
      <c r="E5" s="54" t="s">
        <v>47</v>
      </c>
      <c r="F5" s="27"/>
      <c r="G5" s="35"/>
      <c r="H5" s="151"/>
      <c r="J5" s="21"/>
    </row>
    <row r="6" spans="1:8" ht="12.75" customHeight="1">
      <c r="A6" s="54">
        <v>2</v>
      </c>
      <c r="B6" s="66" t="s">
        <v>78</v>
      </c>
      <c r="C6" s="27" t="s">
        <v>79</v>
      </c>
      <c r="D6" s="188"/>
      <c r="E6" s="54" t="s">
        <v>78</v>
      </c>
      <c r="F6" s="27"/>
      <c r="G6" s="22"/>
      <c r="H6" s="34"/>
    </row>
    <row r="7" spans="1:8" ht="12.75" customHeight="1">
      <c r="A7" s="54"/>
      <c r="B7" s="66"/>
      <c r="C7" s="27"/>
      <c r="D7" s="49"/>
      <c r="E7" s="189">
        <v>105</v>
      </c>
      <c r="F7" s="54" t="s">
        <v>47</v>
      </c>
      <c r="G7" s="22"/>
      <c r="H7" s="34"/>
    </row>
    <row r="8" spans="1:8" ht="12.75" customHeight="1">
      <c r="A8" s="54">
        <v>3</v>
      </c>
      <c r="B8" s="66">
        <v>72</v>
      </c>
      <c r="C8" s="27" t="s">
        <v>169</v>
      </c>
      <c r="D8" s="49"/>
      <c r="E8" s="189"/>
      <c r="F8" s="54" t="s">
        <v>48</v>
      </c>
      <c r="G8" s="38"/>
      <c r="H8" s="34"/>
    </row>
    <row r="9" spans="1:8" ht="12.75" customHeight="1">
      <c r="A9" s="54"/>
      <c r="B9" s="66"/>
      <c r="C9" s="27"/>
      <c r="D9" s="188">
        <v>90</v>
      </c>
      <c r="E9" s="54" t="s">
        <v>114</v>
      </c>
      <c r="F9" s="54"/>
      <c r="G9" s="38"/>
      <c r="H9" s="34"/>
    </row>
    <row r="10" spans="1:8" ht="12.75" customHeight="1">
      <c r="A10" s="54">
        <v>4</v>
      </c>
      <c r="B10" s="66">
        <v>64</v>
      </c>
      <c r="C10" s="27" t="s">
        <v>170</v>
      </c>
      <c r="D10" s="188"/>
      <c r="E10" s="54" t="s">
        <v>171</v>
      </c>
      <c r="F10" s="54"/>
      <c r="G10" s="38"/>
      <c r="H10" s="34"/>
    </row>
    <row r="11" spans="1:8" ht="12.75" customHeight="1">
      <c r="A11" s="54"/>
      <c r="B11" s="66"/>
      <c r="C11" s="27"/>
      <c r="D11" s="49"/>
      <c r="E11" s="44"/>
      <c r="F11" s="189">
        <v>113</v>
      </c>
      <c r="G11" s="54" t="s">
        <v>49</v>
      </c>
      <c r="H11" s="34"/>
    </row>
    <row r="12" spans="1:8" ht="12.75" customHeight="1">
      <c r="A12" s="54">
        <v>5</v>
      </c>
      <c r="B12" s="66">
        <v>86</v>
      </c>
      <c r="C12" s="27" t="s">
        <v>172</v>
      </c>
      <c r="D12" s="49"/>
      <c r="E12" s="44"/>
      <c r="F12" s="189"/>
      <c r="G12" s="54" t="s">
        <v>50</v>
      </c>
      <c r="H12" s="38"/>
    </row>
    <row r="13" spans="1:8" ht="12.75" customHeight="1">
      <c r="A13" s="54"/>
      <c r="B13" s="66"/>
      <c r="C13" s="27"/>
      <c r="D13" s="188">
        <v>91</v>
      </c>
      <c r="E13" s="54" t="s">
        <v>173</v>
      </c>
      <c r="F13" s="54"/>
      <c r="G13" s="40"/>
      <c r="H13" s="38"/>
    </row>
    <row r="14" spans="1:8" ht="12.75" customHeight="1">
      <c r="A14" s="54">
        <v>6</v>
      </c>
      <c r="B14" s="66">
        <v>47</v>
      </c>
      <c r="C14" s="27" t="s">
        <v>174</v>
      </c>
      <c r="D14" s="188"/>
      <c r="E14" s="54" t="s">
        <v>175</v>
      </c>
      <c r="F14" s="54"/>
      <c r="G14" s="40"/>
      <c r="H14" s="38"/>
    </row>
    <row r="15" spans="1:13" ht="12.75" customHeight="1">
      <c r="A15" s="54"/>
      <c r="B15" s="66"/>
      <c r="C15" s="27"/>
      <c r="D15" s="49"/>
      <c r="E15" s="189">
        <v>106</v>
      </c>
      <c r="F15" s="54" t="s">
        <v>49</v>
      </c>
      <c r="G15" s="40"/>
      <c r="H15" s="38"/>
      <c r="M15" s="152"/>
    </row>
    <row r="16" spans="1:8" ht="12.75" customHeight="1">
      <c r="A16" s="54">
        <v>7</v>
      </c>
      <c r="B16" s="66" t="s">
        <v>78</v>
      </c>
      <c r="C16" s="27" t="s">
        <v>79</v>
      </c>
      <c r="D16" s="49"/>
      <c r="E16" s="189"/>
      <c r="F16" s="54" t="s">
        <v>51</v>
      </c>
      <c r="G16" s="27"/>
      <c r="H16" s="38"/>
    </row>
    <row r="17" spans="1:8" ht="12.75" customHeight="1">
      <c r="A17" s="54"/>
      <c r="B17" s="66" t="s">
        <v>52</v>
      </c>
      <c r="C17" s="27"/>
      <c r="D17" s="188">
        <v>92</v>
      </c>
      <c r="E17" s="54" t="s">
        <v>49</v>
      </c>
      <c r="F17" s="68"/>
      <c r="G17" s="27"/>
      <c r="H17" s="38"/>
    </row>
    <row r="18" spans="1:8" ht="12.75" customHeight="1">
      <c r="A18" s="54">
        <v>8</v>
      </c>
      <c r="B18" s="66">
        <v>30</v>
      </c>
      <c r="C18" s="27" t="s">
        <v>176</v>
      </c>
      <c r="D18" s="188"/>
      <c r="E18" s="54" t="s">
        <v>78</v>
      </c>
      <c r="F18" s="54"/>
      <c r="G18" s="27"/>
      <c r="H18" s="38"/>
    </row>
    <row r="19" spans="1:8" ht="12.75" customHeight="1">
      <c r="A19" s="54"/>
      <c r="C19" s="27"/>
      <c r="D19" s="49"/>
      <c r="E19" s="68"/>
      <c r="F19" s="54"/>
      <c r="G19" s="189">
        <v>117</v>
      </c>
      <c r="H19" s="40" t="s">
        <v>53</v>
      </c>
    </row>
    <row r="20" spans="1:9" ht="12.75" customHeight="1">
      <c r="A20" s="54">
        <v>9</v>
      </c>
      <c r="B20" s="66">
        <v>31</v>
      </c>
      <c r="C20" s="27" t="s">
        <v>177</v>
      </c>
      <c r="D20" s="49"/>
      <c r="E20" s="44"/>
      <c r="F20" s="68"/>
      <c r="G20" s="189"/>
      <c r="H20" s="40" t="s">
        <v>54</v>
      </c>
      <c r="I20" s="68"/>
    </row>
    <row r="21" spans="1:9" ht="12.75" customHeight="1">
      <c r="A21" s="54"/>
      <c r="C21" s="27"/>
      <c r="D21" s="188">
        <v>93</v>
      </c>
      <c r="E21" s="54" t="s">
        <v>178</v>
      </c>
      <c r="F21" s="27"/>
      <c r="G21" s="40"/>
      <c r="H21" s="38"/>
      <c r="I21" s="68"/>
    </row>
    <row r="22" spans="1:9" ht="12.75" customHeight="1">
      <c r="A22" s="54">
        <v>10</v>
      </c>
      <c r="B22" s="66" t="s">
        <v>78</v>
      </c>
      <c r="C22" s="27" t="s">
        <v>79</v>
      </c>
      <c r="D22" s="188"/>
      <c r="E22" s="54" t="s">
        <v>78</v>
      </c>
      <c r="F22" s="27"/>
      <c r="G22" s="40"/>
      <c r="H22" s="38"/>
      <c r="I22" s="68"/>
    </row>
    <row r="23" spans="1:9" ht="12.75" customHeight="1">
      <c r="A23" s="54"/>
      <c r="C23" s="27"/>
      <c r="D23" s="51"/>
      <c r="E23" s="189">
        <v>107</v>
      </c>
      <c r="F23" s="54" t="s">
        <v>55</v>
      </c>
      <c r="G23" s="40"/>
      <c r="H23" s="38"/>
      <c r="I23" s="68"/>
    </row>
    <row r="24" spans="1:9" ht="12.75" customHeight="1">
      <c r="A24" s="54">
        <v>11</v>
      </c>
      <c r="B24" s="66">
        <v>52</v>
      </c>
      <c r="C24" s="27" t="s">
        <v>179</v>
      </c>
      <c r="D24" s="51"/>
      <c r="E24" s="189"/>
      <c r="F24" s="54" t="s">
        <v>56</v>
      </c>
      <c r="G24" s="27"/>
      <c r="H24" s="38"/>
      <c r="I24" s="68"/>
    </row>
    <row r="25" spans="1:9" ht="12.75" customHeight="1">
      <c r="A25" s="54"/>
      <c r="C25" s="27"/>
      <c r="D25" s="188">
        <v>94</v>
      </c>
      <c r="E25" s="54" t="s">
        <v>55</v>
      </c>
      <c r="F25" s="27"/>
      <c r="G25" s="27"/>
      <c r="H25" s="38"/>
      <c r="I25" s="68"/>
    </row>
    <row r="26" spans="1:9" ht="12.75" customHeight="1">
      <c r="A26" s="54">
        <v>12</v>
      </c>
      <c r="B26" s="66">
        <v>37</v>
      </c>
      <c r="C26" s="27" t="s">
        <v>180</v>
      </c>
      <c r="D26" s="188"/>
      <c r="E26" s="54" t="s">
        <v>181</v>
      </c>
      <c r="F26" s="27"/>
      <c r="G26" s="27"/>
      <c r="H26" s="38"/>
      <c r="I26" s="68"/>
    </row>
    <row r="27" spans="1:9" ht="12.75" customHeight="1">
      <c r="A27" s="54"/>
      <c r="C27" s="27"/>
      <c r="D27" s="51"/>
      <c r="E27" s="54"/>
      <c r="F27" s="189">
        <v>114</v>
      </c>
      <c r="G27" s="54" t="s">
        <v>53</v>
      </c>
      <c r="H27" s="38"/>
      <c r="I27" s="68"/>
    </row>
    <row r="28" spans="1:9" ht="12.75" customHeight="1">
      <c r="A28" s="54">
        <v>13</v>
      </c>
      <c r="B28" s="66">
        <v>57</v>
      </c>
      <c r="C28" s="27" t="s">
        <v>182</v>
      </c>
      <c r="D28" s="49"/>
      <c r="E28" s="27"/>
      <c r="F28" s="189"/>
      <c r="G28" s="54" t="s">
        <v>57</v>
      </c>
      <c r="H28" s="48"/>
      <c r="I28" s="68"/>
    </row>
    <row r="29" spans="1:9" ht="12.75" customHeight="1">
      <c r="A29" s="54"/>
      <c r="C29" s="68"/>
      <c r="D29" s="188">
        <v>95</v>
      </c>
      <c r="E29" s="54" t="s">
        <v>183</v>
      </c>
      <c r="F29" s="44"/>
      <c r="G29" s="27"/>
      <c r="H29" s="40"/>
      <c r="I29" s="68"/>
    </row>
    <row r="30" spans="1:9" ht="12.75" customHeight="1">
      <c r="A30" s="54">
        <v>14</v>
      </c>
      <c r="B30" s="66">
        <v>70</v>
      </c>
      <c r="C30" s="27" t="s">
        <v>184</v>
      </c>
      <c r="D30" s="188"/>
      <c r="E30" s="54" t="s">
        <v>185</v>
      </c>
      <c r="F30" s="44"/>
      <c r="G30" s="27"/>
      <c r="H30" s="40"/>
      <c r="I30" s="68"/>
    </row>
    <row r="31" spans="1:9" ht="12.75" customHeight="1">
      <c r="A31" s="54"/>
      <c r="C31" s="27"/>
      <c r="D31" s="49"/>
      <c r="E31" s="189">
        <v>108</v>
      </c>
      <c r="F31" s="54" t="s">
        <v>53</v>
      </c>
      <c r="G31" s="27"/>
      <c r="H31" s="40"/>
      <c r="I31" s="68"/>
    </row>
    <row r="32" spans="1:9" ht="12.75" customHeight="1">
      <c r="A32" s="54">
        <v>15</v>
      </c>
      <c r="B32" s="66" t="s">
        <v>78</v>
      </c>
      <c r="C32" s="27" t="s">
        <v>79</v>
      </c>
      <c r="D32" s="49"/>
      <c r="E32" s="189"/>
      <c r="F32" s="54" t="s">
        <v>58</v>
      </c>
      <c r="G32" s="27"/>
      <c r="H32" s="59"/>
      <c r="I32" s="68"/>
    </row>
    <row r="33" spans="1:9" ht="12.75" customHeight="1">
      <c r="A33" s="54"/>
      <c r="C33" s="27"/>
      <c r="D33" s="188">
        <v>96</v>
      </c>
      <c r="E33" s="54" t="s">
        <v>53</v>
      </c>
      <c r="F33" s="44"/>
      <c r="G33" s="27"/>
      <c r="H33" s="40"/>
      <c r="I33" s="68"/>
    </row>
    <row r="34" spans="1:9" ht="12.75" customHeight="1">
      <c r="A34" s="54">
        <v>16</v>
      </c>
      <c r="B34" s="66">
        <v>25</v>
      </c>
      <c r="C34" s="38" t="s">
        <v>186</v>
      </c>
      <c r="D34" s="188"/>
      <c r="E34" s="54" t="s">
        <v>78</v>
      </c>
      <c r="F34" s="44"/>
      <c r="G34" s="27"/>
      <c r="H34" s="40"/>
      <c r="I34" s="68"/>
    </row>
    <row r="35" spans="1:9" ht="15.75" customHeight="1">
      <c r="A35" s="54"/>
      <c r="B35" s="27"/>
      <c r="C35" s="25"/>
      <c r="D35" s="25"/>
      <c r="E35" s="25"/>
      <c r="F35" s="56"/>
      <c r="G35" s="259">
        <v>119</v>
      </c>
      <c r="H35" s="153" t="s">
        <v>53</v>
      </c>
      <c r="I35" s="68"/>
    </row>
    <row r="36" spans="1:9" ht="12.75" customHeight="1">
      <c r="A36" s="54">
        <v>17</v>
      </c>
      <c r="B36" s="66">
        <v>26</v>
      </c>
      <c r="C36" s="38" t="s">
        <v>187</v>
      </c>
      <c r="D36" s="154"/>
      <c r="E36" s="25"/>
      <c r="F36" s="46"/>
      <c r="G36" s="259"/>
      <c r="H36" s="155" t="s">
        <v>59</v>
      </c>
      <c r="I36" s="68"/>
    </row>
    <row r="37" spans="1:9" ht="12.75" customHeight="1">
      <c r="A37" s="54"/>
      <c r="B37" s="27"/>
      <c r="C37" s="46"/>
      <c r="D37" s="260">
        <v>97</v>
      </c>
      <c r="E37" s="40" t="s">
        <v>60</v>
      </c>
      <c r="F37" s="46"/>
      <c r="G37" s="40"/>
      <c r="H37" s="40"/>
      <c r="I37" s="68"/>
    </row>
    <row r="38" spans="1:9" ht="12.75" customHeight="1">
      <c r="A38" s="54">
        <v>18</v>
      </c>
      <c r="B38" s="48" t="s">
        <v>78</v>
      </c>
      <c r="C38" s="38" t="s">
        <v>79</v>
      </c>
      <c r="D38" s="260"/>
      <c r="E38" s="40" t="s">
        <v>78</v>
      </c>
      <c r="F38" s="56"/>
      <c r="G38" s="40"/>
      <c r="H38" s="40"/>
      <c r="I38" s="68"/>
    </row>
    <row r="39" spans="1:9" ht="12.75" customHeight="1">
      <c r="A39" s="54"/>
      <c r="B39" s="27"/>
      <c r="C39" s="46"/>
      <c r="D39" s="46"/>
      <c r="E39" s="190">
        <v>109</v>
      </c>
      <c r="F39" s="40" t="s">
        <v>60</v>
      </c>
      <c r="G39" s="40"/>
      <c r="H39" s="40"/>
      <c r="I39" s="68"/>
    </row>
    <row r="40" spans="1:9" ht="12.75" customHeight="1">
      <c r="A40" s="54">
        <v>19</v>
      </c>
      <c r="B40" s="48">
        <v>44</v>
      </c>
      <c r="C40" s="38" t="s">
        <v>188</v>
      </c>
      <c r="D40" s="156"/>
      <c r="E40" s="190"/>
      <c r="F40" s="40" t="s">
        <v>61</v>
      </c>
      <c r="G40" s="40"/>
      <c r="H40" s="40"/>
      <c r="I40" s="68"/>
    </row>
    <row r="41" spans="1:9" ht="12.75" customHeight="1">
      <c r="A41" s="54"/>
      <c r="B41" s="27"/>
      <c r="C41" s="38"/>
      <c r="D41" s="188">
        <v>98</v>
      </c>
      <c r="E41" s="40" t="s">
        <v>189</v>
      </c>
      <c r="F41" s="56"/>
      <c r="G41" s="40"/>
      <c r="H41" s="40"/>
      <c r="I41" s="68"/>
    </row>
    <row r="42" spans="1:9" ht="12.75" customHeight="1">
      <c r="A42" s="54">
        <v>20</v>
      </c>
      <c r="B42" s="48">
        <v>77</v>
      </c>
      <c r="C42" s="38" t="s">
        <v>190</v>
      </c>
      <c r="D42" s="188"/>
      <c r="E42" s="40" t="s">
        <v>191</v>
      </c>
      <c r="F42" s="56"/>
      <c r="G42" s="40"/>
      <c r="H42" s="40"/>
      <c r="I42" s="68"/>
    </row>
    <row r="43" spans="1:9" ht="12.75" customHeight="1">
      <c r="A43" s="54"/>
      <c r="B43" s="27"/>
      <c r="C43" s="38"/>
      <c r="D43" s="156"/>
      <c r="E43" s="38"/>
      <c r="F43" s="190">
        <v>115</v>
      </c>
      <c r="G43" s="40" t="s">
        <v>60</v>
      </c>
      <c r="H43" s="40"/>
      <c r="I43" s="68"/>
    </row>
    <row r="44" spans="1:9" ht="12.75" customHeight="1">
      <c r="A44" s="54">
        <v>21</v>
      </c>
      <c r="B44" s="48">
        <v>45</v>
      </c>
      <c r="C44" s="38" t="s">
        <v>192</v>
      </c>
      <c r="D44" s="156"/>
      <c r="E44" s="38"/>
      <c r="F44" s="190"/>
      <c r="G44" s="40" t="s">
        <v>62</v>
      </c>
      <c r="H44" s="40"/>
      <c r="I44" s="68"/>
    </row>
    <row r="45" spans="1:9" ht="12.75" customHeight="1">
      <c r="A45" s="54"/>
      <c r="B45" s="27"/>
      <c r="C45" s="38"/>
      <c r="D45" s="188">
        <v>99</v>
      </c>
      <c r="E45" s="40" t="s">
        <v>63</v>
      </c>
      <c r="F45" s="56"/>
      <c r="G45" s="40"/>
      <c r="H45" s="40"/>
      <c r="I45" s="68"/>
    </row>
    <row r="46" spans="1:9" ht="12.75" customHeight="1">
      <c r="A46" s="54">
        <v>22</v>
      </c>
      <c r="B46" s="48">
        <v>42</v>
      </c>
      <c r="C46" s="38" t="s">
        <v>193</v>
      </c>
      <c r="D46" s="188"/>
      <c r="E46" s="40" t="s">
        <v>194</v>
      </c>
      <c r="F46" s="56"/>
      <c r="G46" s="40"/>
      <c r="H46" s="40"/>
      <c r="I46" s="68"/>
    </row>
    <row r="47" spans="1:9" ht="12.75" customHeight="1">
      <c r="A47" s="54"/>
      <c r="B47" s="27"/>
      <c r="C47" s="38"/>
      <c r="D47" s="156"/>
      <c r="E47" s="189">
        <v>110</v>
      </c>
      <c r="F47" s="274" t="s">
        <v>102</v>
      </c>
      <c r="G47" s="40"/>
      <c r="H47" s="40"/>
      <c r="I47" s="68"/>
    </row>
    <row r="48" spans="1:9" ht="12.75" customHeight="1">
      <c r="A48" s="54">
        <v>23</v>
      </c>
      <c r="B48" s="48" t="s">
        <v>78</v>
      </c>
      <c r="C48" s="38" t="s">
        <v>79</v>
      </c>
      <c r="D48" s="156"/>
      <c r="E48" s="189"/>
      <c r="F48" s="40" t="s">
        <v>64</v>
      </c>
      <c r="G48" s="40"/>
      <c r="H48" s="40"/>
      <c r="I48" s="68"/>
    </row>
    <row r="49" spans="1:9" ht="12.75" customHeight="1">
      <c r="A49" s="54"/>
      <c r="B49" s="27"/>
      <c r="C49" s="38"/>
      <c r="D49" s="188">
        <v>100</v>
      </c>
      <c r="E49" s="40" t="s">
        <v>102</v>
      </c>
      <c r="F49" s="56"/>
      <c r="G49" s="40"/>
      <c r="H49" s="40"/>
      <c r="I49" s="68"/>
    </row>
    <row r="50" spans="1:9" ht="12.75" customHeight="1">
      <c r="A50" s="54">
        <v>24</v>
      </c>
      <c r="B50" s="48">
        <v>36</v>
      </c>
      <c r="C50" s="38" t="s">
        <v>195</v>
      </c>
      <c r="D50" s="188"/>
      <c r="E50" s="40" t="s">
        <v>78</v>
      </c>
      <c r="F50" s="56"/>
      <c r="G50" s="40"/>
      <c r="H50" s="40"/>
      <c r="I50" s="68"/>
    </row>
    <row r="51" spans="1:9" ht="12.75" customHeight="1">
      <c r="A51" s="54"/>
      <c r="B51" s="27"/>
      <c r="C51" s="38"/>
      <c r="D51" s="156"/>
      <c r="E51" s="38"/>
      <c r="F51" s="56"/>
      <c r="G51" s="190">
        <v>118</v>
      </c>
      <c r="H51" s="40" t="s">
        <v>60</v>
      </c>
      <c r="I51" s="68"/>
    </row>
    <row r="52" spans="1:8" ht="12.75" customHeight="1">
      <c r="A52" s="54">
        <v>25</v>
      </c>
      <c r="B52" s="48">
        <v>33</v>
      </c>
      <c r="C52" s="38" t="s">
        <v>196</v>
      </c>
      <c r="D52" s="156"/>
      <c r="E52" s="38"/>
      <c r="F52" s="56"/>
      <c r="G52" s="190"/>
      <c r="H52" s="40" t="s">
        <v>65</v>
      </c>
    </row>
    <row r="53" spans="1:8" ht="12.75" customHeight="1">
      <c r="A53" s="54"/>
      <c r="B53" s="27"/>
      <c r="C53" s="38"/>
      <c r="D53" s="188">
        <v>101</v>
      </c>
      <c r="E53" s="40" t="s">
        <v>66</v>
      </c>
      <c r="F53" s="56"/>
      <c r="G53" s="40"/>
      <c r="H53" s="40"/>
    </row>
    <row r="54" spans="1:8" ht="12.75" customHeight="1">
      <c r="A54" s="54">
        <v>26</v>
      </c>
      <c r="B54" s="48" t="s">
        <v>78</v>
      </c>
      <c r="C54" s="38" t="s">
        <v>79</v>
      </c>
      <c r="D54" s="188"/>
      <c r="E54" s="40" t="s">
        <v>78</v>
      </c>
      <c r="F54" s="56"/>
      <c r="G54" s="40"/>
      <c r="H54" s="40"/>
    </row>
    <row r="55" spans="1:8" ht="12.75" customHeight="1">
      <c r="A55" s="54"/>
      <c r="B55" s="27"/>
      <c r="C55" s="38"/>
      <c r="D55" s="156"/>
      <c r="E55" s="189">
        <v>111</v>
      </c>
      <c r="F55" s="40" t="s">
        <v>66</v>
      </c>
      <c r="G55" s="40"/>
      <c r="H55" s="40"/>
    </row>
    <row r="56" spans="1:8" ht="12.75" customHeight="1">
      <c r="A56" s="54">
        <v>27</v>
      </c>
      <c r="B56" s="48">
        <v>60</v>
      </c>
      <c r="C56" s="38" t="s">
        <v>197</v>
      </c>
      <c r="D56" s="156"/>
      <c r="E56" s="189"/>
      <c r="F56" s="40" t="s">
        <v>67</v>
      </c>
      <c r="G56" s="40"/>
      <c r="H56" s="40"/>
    </row>
    <row r="57" spans="1:8" ht="12.75" customHeight="1">
      <c r="A57" s="54"/>
      <c r="B57" s="27"/>
      <c r="C57" s="38"/>
      <c r="D57" s="188">
        <v>102</v>
      </c>
      <c r="E57" s="40" t="s">
        <v>111</v>
      </c>
      <c r="F57" s="56"/>
      <c r="G57" s="40"/>
      <c r="H57" s="40"/>
    </row>
    <row r="58" spans="1:8" ht="12.75" customHeight="1">
      <c r="A58" s="54">
        <v>28</v>
      </c>
      <c r="B58" s="48">
        <v>73</v>
      </c>
      <c r="C58" s="38" t="s">
        <v>198</v>
      </c>
      <c r="D58" s="188"/>
      <c r="E58" s="40" t="s">
        <v>199</v>
      </c>
      <c r="F58" s="56"/>
      <c r="G58" s="40"/>
      <c r="H58" s="40"/>
    </row>
    <row r="59" spans="1:8" ht="12.75" customHeight="1">
      <c r="A59" s="54"/>
      <c r="B59" s="27"/>
      <c r="C59" s="38"/>
      <c r="D59" s="156"/>
      <c r="E59" s="38"/>
      <c r="F59" s="190">
        <v>116</v>
      </c>
      <c r="G59" s="40" t="s">
        <v>68</v>
      </c>
      <c r="H59" s="40"/>
    </row>
    <row r="60" spans="1:8" ht="12.75" customHeight="1">
      <c r="A60" s="54">
        <v>29</v>
      </c>
      <c r="B60" s="48">
        <v>50</v>
      </c>
      <c r="C60" s="38" t="s">
        <v>200</v>
      </c>
      <c r="D60" s="156"/>
      <c r="E60" s="38"/>
      <c r="F60" s="190"/>
      <c r="G60" s="40" t="s">
        <v>69</v>
      </c>
      <c r="H60" s="40"/>
    </row>
    <row r="61" spans="1:8" ht="12.75" customHeight="1">
      <c r="A61" s="54"/>
      <c r="B61" s="27"/>
      <c r="C61" s="38"/>
      <c r="D61" s="188">
        <v>103</v>
      </c>
      <c r="E61" s="40" t="s">
        <v>201</v>
      </c>
      <c r="F61" s="56"/>
      <c r="G61" s="40"/>
      <c r="H61" s="40"/>
    </row>
    <row r="62" spans="1:8" ht="12.75" customHeight="1">
      <c r="A62" s="54">
        <v>30</v>
      </c>
      <c r="B62" s="48">
        <v>59</v>
      </c>
      <c r="C62" s="38" t="s">
        <v>202</v>
      </c>
      <c r="D62" s="188"/>
      <c r="E62" s="40" t="s">
        <v>203</v>
      </c>
      <c r="F62" s="56"/>
      <c r="G62" s="40"/>
      <c r="H62" s="40"/>
    </row>
    <row r="63" spans="1:8" ht="12.75" customHeight="1">
      <c r="A63" s="54"/>
      <c r="B63" s="27"/>
      <c r="C63" s="38"/>
      <c r="D63" s="156"/>
      <c r="E63" s="189">
        <v>112</v>
      </c>
      <c r="F63" s="40" t="s">
        <v>70</v>
      </c>
      <c r="G63" s="40"/>
      <c r="H63" s="40"/>
    </row>
    <row r="64" spans="1:8" ht="12.75" customHeight="1">
      <c r="A64" s="54">
        <v>31</v>
      </c>
      <c r="B64" s="48" t="s">
        <v>78</v>
      </c>
      <c r="C64" s="38" t="s">
        <v>79</v>
      </c>
      <c r="D64" s="156"/>
      <c r="E64" s="189"/>
      <c r="F64" s="40" t="s">
        <v>71</v>
      </c>
      <c r="G64" s="40"/>
      <c r="H64" s="40"/>
    </row>
    <row r="65" spans="1:8" ht="12.75" customHeight="1">
      <c r="A65" s="54"/>
      <c r="B65" s="27"/>
      <c r="C65" s="38"/>
      <c r="D65" s="188">
        <v>104</v>
      </c>
      <c r="E65" s="40" t="s">
        <v>70</v>
      </c>
      <c r="F65" s="56"/>
      <c r="G65" s="40"/>
      <c r="H65" s="40"/>
    </row>
    <row r="66" spans="1:8" ht="12.75" customHeight="1">
      <c r="A66" s="54">
        <v>32</v>
      </c>
      <c r="B66" s="48">
        <v>21</v>
      </c>
      <c r="C66" s="38" t="s">
        <v>204</v>
      </c>
      <c r="D66" s="188"/>
      <c r="E66" s="155" t="s">
        <v>78</v>
      </c>
      <c r="F66" s="56"/>
      <c r="G66" s="40"/>
      <c r="H66" s="40"/>
    </row>
    <row r="67" spans="1:8" ht="25.5">
      <c r="A67" s="257" t="s">
        <v>78</v>
      </c>
      <c r="B67" s="257"/>
      <c r="C67" s="257"/>
      <c r="D67" s="257"/>
      <c r="E67" s="257"/>
      <c r="F67" s="257"/>
      <c r="G67" s="257"/>
      <c r="H67" s="257"/>
    </row>
    <row r="68" spans="1:8" ht="17.25" customHeight="1">
      <c r="A68" s="244" t="s">
        <v>78</v>
      </c>
      <c r="B68" s="244"/>
      <c r="C68" s="244"/>
      <c r="D68" s="244"/>
      <c r="E68" s="244"/>
      <c r="F68" s="244"/>
      <c r="G68" s="244"/>
      <c r="H68" s="244"/>
    </row>
    <row r="69" spans="3:8" ht="15.75">
      <c r="C69" s="22"/>
      <c r="D69" s="24"/>
      <c r="H69" s="61" t="s">
        <v>78</v>
      </c>
    </row>
    <row r="70" spans="1:8" ht="15.75">
      <c r="A70" s="54" t="s">
        <v>78</v>
      </c>
      <c r="B70" s="66" t="s">
        <v>78</v>
      </c>
      <c r="C70" s="38" t="s">
        <v>78</v>
      </c>
      <c r="D70" s="27"/>
      <c r="E70" s="27"/>
      <c r="F70" s="27"/>
      <c r="G70" s="157"/>
      <c r="H70" s="158" t="s">
        <v>78</v>
      </c>
    </row>
    <row r="71" spans="1:7" ht="13.5">
      <c r="A71" s="54"/>
      <c r="C71" s="22"/>
      <c r="D71" s="188" t="s">
        <v>78</v>
      </c>
      <c r="E71" s="54" t="s">
        <v>78</v>
      </c>
      <c r="F71" s="27"/>
      <c r="G71" s="157"/>
    </row>
    <row r="72" spans="1:7" ht="12.75">
      <c r="A72" s="54" t="s">
        <v>78</v>
      </c>
      <c r="B72" s="66" t="s">
        <v>78</v>
      </c>
      <c r="C72" s="27" t="s">
        <v>78</v>
      </c>
      <c r="D72" s="188"/>
      <c r="E72" s="54" t="s">
        <v>78</v>
      </c>
      <c r="F72" s="27"/>
      <c r="G72" s="27"/>
    </row>
    <row r="73" spans="1:7" ht="12.75">
      <c r="A73" s="54"/>
      <c r="C73" s="22"/>
      <c r="D73" s="49"/>
      <c r="E73" s="189" t="s">
        <v>78</v>
      </c>
      <c r="F73" s="54" t="s">
        <v>78</v>
      </c>
      <c r="G73" s="27"/>
    </row>
    <row r="74" spans="1:7" ht="12.75">
      <c r="A74" s="54" t="s">
        <v>78</v>
      </c>
      <c r="B74" s="66" t="s">
        <v>78</v>
      </c>
      <c r="C74" s="27" t="s">
        <v>78</v>
      </c>
      <c r="D74" s="49"/>
      <c r="E74" s="189"/>
      <c r="F74" s="54" t="s">
        <v>78</v>
      </c>
      <c r="G74" s="38"/>
    </row>
    <row r="75" spans="1:7" ht="12.75">
      <c r="A75" s="54"/>
      <c r="C75" s="22"/>
      <c r="D75" s="188" t="s">
        <v>78</v>
      </c>
      <c r="E75" s="54" t="s">
        <v>78</v>
      </c>
      <c r="F75" s="54"/>
      <c r="G75" s="38"/>
    </row>
    <row r="76" spans="1:7" ht="12.75">
      <c r="A76" s="54" t="s">
        <v>78</v>
      </c>
      <c r="B76" s="66" t="s">
        <v>78</v>
      </c>
      <c r="C76" s="27" t="s">
        <v>78</v>
      </c>
      <c r="D76" s="188"/>
      <c r="E76" s="54" t="s">
        <v>78</v>
      </c>
      <c r="F76" s="54"/>
      <c r="G76" s="38"/>
    </row>
    <row r="77" spans="1:7" ht="12.75">
      <c r="A77" s="54"/>
      <c r="C77" s="22"/>
      <c r="D77" s="49"/>
      <c r="E77" s="44"/>
      <c r="F77" s="189" t="s">
        <v>78</v>
      </c>
      <c r="G77" s="54" t="s">
        <v>78</v>
      </c>
    </row>
    <row r="78" spans="1:8" ht="12.75">
      <c r="A78" s="54" t="s">
        <v>78</v>
      </c>
      <c r="B78" s="66" t="s">
        <v>78</v>
      </c>
      <c r="C78" s="27" t="s">
        <v>78</v>
      </c>
      <c r="D78" s="49"/>
      <c r="E78" s="44"/>
      <c r="F78" s="189"/>
      <c r="G78" s="54" t="s">
        <v>78</v>
      </c>
      <c r="H78" s="46"/>
    </row>
    <row r="79" spans="1:8" ht="12.75">
      <c r="A79" s="54"/>
      <c r="C79" s="22"/>
      <c r="D79" s="188" t="s">
        <v>78</v>
      </c>
      <c r="E79" s="54" t="s">
        <v>78</v>
      </c>
      <c r="F79" s="54"/>
      <c r="G79" s="40"/>
      <c r="H79" s="46"/>
    </row>
    <row r="80" spans="1:8" ht="12.75">
      <c r="A80" s="54" t="s">
        <v>78</v>
      </c>
      <c r="B80" s="66" t="s">
        <v>78</v>
      </c>
      <c r="C80" s="27" t="s">
        <v>78</v>
      </c>
      <c r="D80" s="188"/>
      <c r="E80" s="54" t="s">
        <v>78</v>
      </c>
      <c r="F80" s="54"/>
      <c r="G80" s="40"/>
      <c r="H80" s="46"/>
    </row>
    <row r="81" spans="1:8" ht="12.75">
      <c r="A81" s="54"/>
      <c r="C81" s="22"/>
      <c r="D81" s="49"/>
      <c r="E81" s="189" t="s">
        <v>78</v>
      </c>
      <c r="F81" s="54" t="s">
        <v>78</v>
      </c>
      <c r="G81" s="40"/>
      <c r="H81" s="46"/>
    </row>
    <row r="82" spans="1:8" ht="12.75">
      <c r="A82" s="54" t="s">
        <v>78</v>
      </c>
      <c r="B82" s="66" t="s">
        <v>78</v>
      </c>
      <c r="C82" s="27" t="s">
        <v>78</v>
      </c>
      <c r="D82" s="49"/>
      <c r="E82" s="189"/>
      <c r="F82" s="54" t="s">
        <v>78</v>
      </c>
      <c r="G82" s="27"/>
      <c r="H82" s="46"/>
    </row>
    <row r="83" spans="1:8" ht="12.75">
      <c r="A83" s="54"/>
      <c r="C83" s="22"/>
      <c r="D83" s="188" t="s">
        <v>78</v>
      </c>
      <c r="E83" s="54" t="s">
        <v>78</v>
      </c>
      <c r="F83" s="68"/>
      <c r="G83" s="27"/>
      <c r="H83" s="38"/>
    </row>
    <row r="84" spans="1:8" ht="12.75">
      <c r="A84" s="54" t="s">
        <v>78</v>
      </c>
      <c r="B84" s="66" t="s">
        <v>78</v>
      </c>
      <c r="C84" s="27" t="s">
        <v>78</v>
      </c>
      <c r="D84" s="188"/>
      <c r="E84" s="54" t="s">
        <v>78</v>
      </c>
      <c r="F84" s="54"/>
      <c r="G84" s="27"/>
      <c r="H84" s="38"/>
    </row>
    <row r="85" spans="1:8" ht="12.75">
      <c r="A85" s="54"/>
      <c r="C85" s="22"/>
      <c r="D85" s="49"/>
      <c r="E85" s="68"/>
      <c r="F85" s="54"/>
      <c r="G85" s="189" t="s">
        <v>78</v>
      </c>
      <c r="H85" s="40" t="s">
        <v>78</v>
      </c>
    </row>
    <row r="86" spans="1:8" ht="12.75">
      <c r="A86" s="54" t="s">
        <v>78</v>
      </c>
      <c r="B86" s="66" t="s">
        <v>78</v>
      </c>
      <c r="C86" s="27" t="s">
        <v>78</v>
      </c>
      <c r="D86" s="49"/>
      <c r="E86" s="44"/>
      <c r="F86" s="68"/>
      <c r="G86" s="189"/>
      <c r="H86" s="40" t="s">
        <v>78</v>
      </c>
    </row>
    <row r="87" spans="1:8" ht="12.75">
      <c r="A87" s="54"/>
      <c r="C87" s="27"/>
      <c r="D87" s="188" t="s">
        <v>78</v>
      </c>
      <c r="E87" s="54" t="s">
        <v>78</v>
      </c>
      <c r="F87" s="27"/>
      <c r="G87" s="40"/>
      <c r="H87" s="38"/>
    </row>
    <row r="88" spans="1:8" ht="12.75">
      <c r="A88" s="54" t="s">
        <v>78</v>
      </c>
      <c r="B88" s="66" t="s">
        <v>78</v>
      </c>
      <c r="C88" s="27" t="s">
        <v>78</v>
      </c>
      <c r="D88" s="188"/>
      <c r="E88" s="54" t="s">
        <v>78</v>
      </c>
      <c r="F88" s="27"/>
      <c r="G88" s="40"/>
      <c r="H88" s="38"/>
    </row>
    <row r="89" spans="1:8" ht="12.75">
      <c r="A89" s="54"/>
      <c r="C89" s="27"/>
      <c r="D89" s="51"/>
      <c r="E89" s="189" t="s">
        <v>78</v>
      </c>
      <c r="F89" s="54" t="s">
        <v>78</v>
      </c>
      <c r="G89" s="40"/>
      <c r="H89" s="46"/>
    </row>
    <row r="90" spans="1:8" ht="12.75">
      <c r="A90" s="54" t="s">
        <v>78</v>
      </c>
      <c r="B90" s="66" t="s">
        <v>78</v>
      </c>
      <c r="C90" s="27" t="s">
        <v>78</v>
      </c>
      <c r="D90" s="51"/>
      <c r="E90" s="189"/>
      <c r="F90" s="54" t="s">
        <v>78</v>
      </c>
      <c r="G90" s="27"/>
      <c r="H90" s="46"/>
    </row>
    <row r="91" spans="1:8" ht="12.75">
      <c r="A91" s="54"/>
      <c r="C91" s="27"/>
      <c r="D91" s="188" t="s">
        <v>78</v>
      </c>
      <c r="E91" s="54" t="s">
        <v>78</v>
      </c>
      <c r="F91" s="27"/>
      <c r="G91" s="27"/>
      <c r="H91" s="46"/>
    </row>
    <row r="92" spans="1:8" ht="12.75">
      <c r="A92" s="54" t="s">
        <v>78</v>
      </c>
      <c r="B92" s="66" t="s">
        <v>78</v>
      </c>
      <c r="C92" s="27" t="s">
        <v>78</v>
      </c>
      <c r="D92" s="188"/>
      <c r="E92" s="54" t="s">
        <v>78</v>
      </c>
      <c r="F92" s="27"/>
      <c r="G92" s="27"/>
      <c r="H92" s="46"/>
    </row>
    <row r="93" spans="1:8" ht="12.75">
      <c r="A93" s="54"/>
      <c r="C93" s="27"/>
      <c r="D93" s="51"/>
      <c r="E93" s="54"/>
      <c r="F93" s="190" t="s">
        <v>78</v>
      </c>
      <c r="G93" s="54" t="s">
        <v>78</v>
      </c>
      <c r="H93" s="46"/>
    </row>
    <row r="94" spans="1:8" ht="12.75">
      <c r="A94" s="54" t="s">
        <v>78</v>
      </c>
      <c r="B94" s="66" t="s">
        <v>78</v>
      </c>
      <c r="C94" s="27" t="s">
        <v>78</v>
      </c>
      <c r="D94" s="49"/>
      <c r="E94" s="27"/>
      <c r="F94" s="190"/>
      <c r="G94" s="54" t="s">
        <v>78</v>
      </c>
      <c r="H94" s="46"/>
    </row>
    <row r="95" spans="1:8" ht="12.75">
      <c r="A95" s="54"/>
      <c r="C95" s="68"/>
      <c r="D95" s="188" t="s">
        <v>78</v>
      </c>
      <c r="E95" s="54" t="s">
        <v>78</v>
      </c>
      <c r="F95" s="44"/>
      <c r="G95" s="27"/>
      <c r="H95" s="46"/>
    </row>
    <row r="96" spans="1:8" ht="12.75">
      <c r="A96" s="54" t="s">
        <v>78</v>
      </c>
      <c r="B96" s="66" t="s">
        <v>78</v>
      </c>
      <c r="C96" s="27" t="s">
        <v>78</v>
      </c>
      <c r="D96" s="188"/>
      <c r="E96" s="54" t="s">
        <v>78</v>
      </c>
      <c r="F96" s="44"/>
      <c r="G96" s="27"/>
      <c r="H96" s="46"/>
    </row>
    <row r="97" spans="1:8" ht="12.75">
      <c r="A97" s="54"/>
      <c r="C97" s="27"/>
      <c r="D97" s="49"/>
      <c r="E97" s="189" t="s">
        <v>78</v>
      </c>
      <c r="F97" s="54" t="s">
        <v>78</v>
      </c>
      <c r="G97" s="27"/>
      <c r="H97" s="46"/>
    </row>
    <row r="98" spans="1:8" ht="12.75">
      <c r="A98" s="54" t="s">
        <v>78</v>
      </c>
      <c r="B98" s="66" t="s">
        <v>78</v>
      </c>
      <c r="C98" s="27" t="s">
        <v>78</v>
      </c>
      <c r="D98" s="49"/>
      <c r="E98" s="189"/>
      <c r="F98" s="54" t="s">
        <v>78</v>
      </c>
      <c r="G98" s="27"/>
      <c r="H98" s="46"/>
    </row>
    <row r="99" spans="1:8" ht="12.75">
      <c r="A99" s="54"/>
      <c r="C99" s="27"/>
      <c r="D99" s="188" t="s">
        <v>78</v>
      </c>
      <c r="E99" s="54" t="s">
        <v>78</v>
      </c>
      <c r="F99" s="44"/>
      <c r="G99" s="27"/>
      <c r="H99" s="46"/>
    </row>
    <row r="100" spans="1:8" ht="12.75">
      <c r="A100" s="54" t="s">
        <v>78</v>
      </c>
      <c r="B100" s="66" t="s">
        <v>78</v>
      </c>
      <c r="C100" s="38" t="s">
        <v>78</v>
      </c>
      <c r="D100" s="188"/>
      <c r="E100" s="54" t="s">
        <v>78</v>
      </c>
      <c r="F100" s="44"/>
      <c r="G100" s="27"/>
      <c r="H100" s="46"/>
    </row>
    <row r="101" spans="1:8" ht="12.75">
      <c r="A101" s="54"/>
      <c r="B101" s="27"/>
      <c r="D101" s="68"/>
      <c r="E101" s="68"/>
      <c r="F101" s="44"/>
      <c r="G101" s="258" t="s">
        <v>78</v>
      </c>
      <c r="H101" s="48" t="s">
        <v>78</v>
      </c>
    </row>
    <row r="102" spans="1:8" ht="12.75">
      <c r="A102" s="54" t="s">
        <v>78</v>
      </c>
      <c r="B102" s="66" t="s">
        <v>78</v>
      </c>
      <c r="C102" s="38" t="s">
        <v>78</v>
      </c>
      <c r="D102" s="49"/>
      <c r="E102" s="68"/>
      <c r="F102" s="68"/>
      <c r="G102" s="258"/>
      <c r="H102" s="159" t="s">
        <v>78</v>
      </c>
    </row>
    <row r="103" spans="1:8" ht="12.75">
      <c r="A103" s="54"/>
      <c r="B103" s="27"/>
      <c r="C103" s="68"/>
      <c r="D103" s="188" t="s">
        <v>78</v>
      </c>
      <c r="E103" s="54" t="s">
        <v>78</v>
      </c>
      <c r="F103" s="68"/>
      <c r="G103" s="40"/>
      <c r="H103" s="46"/>
    </row>
    <row r="104" spans="1:8" ht="12.75">
      <c r="A104" s="54" t="s">
        <v>78</v>
      </c>
      <c r="B104" s="66" t="s">
        <v>78</v>
      </c>
      <c r="C104" s="27" t="s">
        <v>78</v>
      </c>
      <c r="D104" s="188"/>
      <c r="E104" s="54" t="s">
        <v>78</v>
      </c>
      <c r="F104" s="44"/>
      <c r="G104" s="40"/>
      <c r="H104" s="46"/>
    </row>
    <row r="105" spans="1:8" ht="12.75">
      <c r="A105" s="54"/>
      <c r="B105" s="27"/>
      <c r="D105" s="68"/>
      <c r="E105" s="189" t="s">
        <v>78</v>
      </c>
      <c r="F105" s="54" t="s">
        <v>78</v>
      </c>
      <c r="G105" s="40"/>
      <c r="H105" s="46"/>
    </row>
    <row r="106" spans="1:8" ht="12.75">
      <c r="A106" s="54" t="s">
        <v>78</v>
      </c>
      <c r="B106" s="66" t="s">
        <v>78</v>
      </c>
      <c r="C106" s="27" t="s">
        <v>78</v>
      </c>
      <c r="D106" s="51"/>
      <c r="E106" s="189"/>
      <c r="F106" s="54" t="s">
        <v>78</v>
      </c>
      <c r="G106" s="40"/>
      <c r="H106" s="46"/>
    </row>
    <row r="107" spans="1:8" ht="12.75">
      <c r="A107" s="54"/>
      <c r="B107" s="27"/>
      <c r="C107" s="27"/>
      <c r="D107" s="188" t="s">
        <v>78</v>
      </c>
      <c r="E107" s="54" t="s">
        <v>78</v>
      </c>
      <c r="F107" s="44"/>
      <c r="G107" s="40"/>
      <c r="H107" s="46"/>
    </row>
    <row r="108" spans="1:8" ht="12.75">
      <c r="A108" s="54" t="s">
        <v>78</v>
      </c>
      <c r="B108" s="66" t="s">
        <v>78</v>
      </c>
      <c r="C108" s="27" t="s">
        <v>78</v>
      </c>
      <c r="D108" s="188"/>
      <c r="E108" s="54" t="s">
        <v>78</v>
      </c>
      <c r="F108" s="44"/>
      <c r="G108" s="40"/>
      <c r="H108" s="46"/>
    </row>
    <row r="109" spans="1:8" ht="12.75">
      <c r="A109" s="54"/>
      <c r="B109" s="27"/>
      <c r="C109" s="27"/>
      <c r="D109" s="51"/>
      <c r="E109" s="27"/>
      <c r="F109" s="190" t="s">
        <v>78</v>
      </c>
      <c r="G109" s="54" t="s">
        <v>78</v>
      </c>
      <c r="H109" s="46"/>
    </row>
    <row r="110" spans="1:8" ht="12.75">
      <c r="A110" s="54" t="s">
        <v>78</v>
      </c>
      <c r="B110" s="66" t="s">
        <v>78</v>
      </c>
      <c r="C110" s="27" t="s">
        <v>78</v>
      </c>
      <c r="D110" s="51"/>
      <c r="E110" s="27"/>
      <c r="F110" s="190"/>
      <c r="G110" s="54" t="s">
        <v>78</v>
      </c>
      <c r="H110" s="46"/>
    </row>
    <row r="111" spans="1:8" ht="12.75">
      <c r="A111" s="54"/>
      <c r="B111" s="27"/>
      <c r="C111" s="27"/>
      <c r="D111" s="188" t="s">
        <v>78</v>
      </c>
      <c r="E111" s="54" t="s">
        <v>78</v>
      </c>
      <c r="F111" s="44"/>
      <c r="G111" s="40"/>
      <c r="H111" s="46"/>
    </row>
    <row r="112" spans="1:8" ht="12.75">
      <c r="A112" s="54" t="s">
        <v>78</v>
      </c>
      <c r="B112" s="66" t="s">
        <v>78</v>
      </c>
      <c r="C112" s="27" t="s">
        <v>78</v>
      </c>
      <c r="D112" s="188"/>
      <c r="E112" s="54" t="s">
        <v>78</v>
      </c>
      <c r="F112" s="44"/>
      <c r="G112" s="40"/>
      <c r="H112" s="46"/>
    </row>
    <row r="113" spans="1:8" ht="12.75">
      <c r="A113" s="54"/>
      <c r="B113" s="27"/>
      <c r="C113" s="27"/>
      <c r="D113" s="51"/>
      <c r="E113" s="189" t="s">
        <v>78</v>
      </c>
      <c r="F113" s="54" t="s">
        <v>78</v>
      </c>
      <c r="G113" s="40"/>
      <c r="H113" s="46"/>
    </row>
    <row r="114" spans="1:8" ht="12.75">
      <c r="A114" s="54" t="s">
        <v>78</v>
      </c>
      <c r="B114" s="66" t="s">
        <v>78</v>
      </c>
      <c r="C114" s="27" t="s">
        <v>78</v>
      </c>
      <c r="D114" s="51"/>
      <c r="E114" s="189"/>
      <c r="F114" s="54" t="s">
        <v>78</v>
      </c>
      <c r="G114" s="40"/>
      <c r="H114" s="46"/>
    </row>
    <row r="115" spans="1:8" ht="12.75">
      <c r="A115" s="54"/>
      <c r="B115" s="27"/>
      <c r="C115" s="27"/>
      <c r="D115" s="188" t="s">
        <v>78</v>
      </c>
      <c r="E115" s="54" t="s">
        <v>78</v>
      </c>
      <c r="F115" s="44"/>
      <c r="G115" s="40"/>
      <c r="H115" s="38"/>
    </row>
    <row r="116" spans="1:8" ht="12.75">
      <c r="A116" s="54" t="s">
        <v>78</v>
      </c>
      <c r="B116" s="66" t="s">
        <v>78</v>
      </c>
      <c r="C116" s="27" t="s">
        <v>78</v>
      </c>
      <c r="D116" s="188"/>
      <c r="E116" s="54" t="s">
        <v>78</v>
      </c>
      <c r="F116" s="44"/>
      <c r="G116" s="40"/>
      <c r="H116" s="38"/>
    </row>
    <row r="117" spans="1:8" ht="12.75">
      <c r="A117" s="54"/>
      <c r="B117" s="27"/>
      <c r="C117" s="27"/>
      <c r="D117" s="51"/>
      <c r="E117" s="27"/>
      <c r="F117" s="44"/>
      <c r="G117" s="189" t="s">
        <v>78</v>
      </c>
      <c r="H117" s="40" t="s">
        <v>78</v>
      </c>
    </row>
    <row r="118" spans="1:8" ht="12.75">
      <c r="A118" s="54" t="s">
        <v>78</v>
      </c>
      <c r="B118" s="66" t="s">
        <v>78</v>
      </c>
      <c r="C118" s="27" t="s">
        <v>78</v>
      </c>
      <c r="D118" s="51"/>
      <c r="E118" s="27"/>
      <c r="F118" s="44"/>
      <c r="G118" s="189"/>
      <c r="H118" s="40" t="s">
        <v>78</v>
      </c>
    </row>
    <row r="119" spans="1:8" ht="12.75">
      <c r="A119" s="54"/>
      <c r="B119" s="27"/>
      <c r="C119" s="27"/>
      <c r="D119" s="188" t="s">
        <v>78</v>
      </c>
      <c r="E119" s="54" t="s">
        <v>78</v>
      </c>
      <c r="F119" s="44"/>
      <c r="G119" s="40"/>
      <c r="H119" s="38"/>
    </row>
    <row r="120" spans="1:8" ht="12.75">
      <c r="A120" s="54" t="s">
        <v>78</v>
      </c>
      <c r="B120" s="66" t="s">
        <v>78</v>
      </c>
      <c r="C120" s="27" t="s">
        <v>78</v>
      </c>
      <c r="D120" s="188"/>
      <c r="E120" s="54" t="s">
        <v>78</v>
      </c>
      <c r="F120" s="44"/>
      <c r="G120" s="40"/>
      <c r="H120" s="46"/>
    </row>
    <row r="121" spans="1:8" ht="12.75">
      <c r="A121" s="54"/>
      <c r="B121" s="27"/>
      <c r="C121" s="27"/>
      <c r="D121" s="51"/>
      <c r="E121" s="189" t="s">
        <v>78</v>
      </c>
      <c r="F121" s="54" t="s">
        <v>78</v>
      </c>
      <c r="G121" s="40"/>
      <c r="H121" s="46"/>
    </row>
    <row r="122" spans="1:8" ht="12.75">
      <c r="A122" s="54" t="s">
        <v>78</v>
      </c>
      <c r="B122" s="66" t="s">
        <v>78</v>
      </c>
      <c r="C122" s="27" t="s">
        <v>78</v>
      </c>
      <c r="D122" s="51"/>
      <c r="E122" s="189"/>
      <c r="F122" s="54" t="s">
        <v>78</v>
      </c>
      <c r="G122" s="40"/>
      <c r="H122" s="46"/>
    </row>
    <row r="123" spans="1:8" ht="12.75">
      <c r="A123" s="54"/>
      <c r="B123" s="27"/>
      <c r="C123" s="27"/>
      <c r="D123" s="188" t="s">
        <v>78</v>
      </c>
      <c r="E123" s="54" t="s">
        <v>78</v>
      </c>
      <c r="F123" s="44"/>
      <c r="G123" s="40"/>
      <c r="H123" s="46"/>
    </row>
    <row r="124" spans="1:8" ht="12.75">
      <c r="A124" s="54" t="s">
        <v>78</v>
      </c>
      <c r="B124" s="66" t="s">
        <v>78</v>
      </c>
      <c r="C124" s="27" t="s">
        <v>78</v>
      </c>
      <c r="D124" s="188"/>
      <c r="E124" s="54" t="s">
        <v>78</v>
      </c>
      <c r="F124" s="44"/>
      <c r="G124" s="40"/>
      <c r="H124" s="46"/>
    </row>
    <row r="125" spans="1:8" ht="12.75">
      <c r="A125" s="54"/>
      <c r="B125" s="27"/>
      <c r="C125" s="27"/>
      <c r="D125" s="51"/>
      <c r="E125" s="27"/>
      <c r="F125" s="190" t="s">
        <v>78</v>
      </c>
      <c r="G125" s="54" t="s">
        <v>78</v>
      </c>
      <c r="H125" s="46"/>
    </row>
    <row r="126" spans="1:8" ht="12.75">
      <c r="A126" s="54" t="s">
        <v>78</v>
      </c>
      <c r="B126" s="66" t="s">
        <v>78</v>
      </c>
      <c r="C126" s="27" t="s">
        <v>78</v>
      </c>
      <c r="D126" s="51"/>
      <c r="E126" s="27"/>
      <c r="F126" s="190"/>
      <c r="G126" s="54" t="s">
        <v>78</v>
      </c>
      <c r="H126" s="46"/>
    </row>
    <row r="127" spans="1:8" ht="12.75">
      <c r="A127" s="54"/>
      <c r="B127" s="27"/>
      <c r="C127" s="27"/>
      <c r="D127" s="188" t="s">
        <v>78</v>
      </c>
      <c r="E127" s="54" t="s">
        <v>78</v>
      </c>
      <c r="F127" s="44"/>
      <c r="G127" s="40"/>
      <c r="H127" s="46"/>
    </row>
    <row r="128" spans="1:8" ht="12.75">
      <c r="A128" s="54" t="s">
        <v>78</v>
      </c>
      <c r="B128" s="66" t="s">
        <v>78</v>
      </c>
      <c r="C128" s="27" t="s">
        <v>78</v>
      </c>
      <c r="D128" s="188"/>
      <c r="E128" s="54" t="s">
        <v>78</v>
      </c>
      <c r="F128" s="44"/>
      <c r="G128" s="40"/>
      <c r="H128" s="46"/>
    </row>
    <row r="129" spans="1:8" ht="12.75">
      <c r="A129" s="54"/>
      <c r="B129" s="27"/>
      <c r="C129" s="27"/>
      <c r="D129" s="51"/>
      <c r="E129" s="189" t="s">
        <v>78</v>
      </c>
      <c r="F129" s="54" t="s">
        <v>78</v>
      </c>
      <c r="G129" s="40"/>
      <c r="H129" s="46"/>
    </row>
    <row r="130" spans="1:8" ht="12.75">
      <c r="A130" s="54" t="s">
        <v>78</v>
      </c>
      <c r="B130" s="66" t="s">
        <v>78</v>
      </c>
      <c r="C130" s="27" t="s">
        <v>78</v>
      </c>
      <c r="D130" s="51"/>
      <c r="E130" s="189"/>
      <c r="F130" s="54" t="s">
        <v>78</v>
      </c>
      <c r="G130" s="40"/>
      <c r="H130" s="46"/>
    </row>
    <row r="131" spans="1:8" ht="12.75">
      <c r="A131" s="54"/>
      <c r="B131" s="27"/>
      <c r="C131" s="27"/>
      <c r="D131" s="188" t="s">
        <v>78</v>
      </c>
      <c r="E131" s="54" t="s">
        <v>78</v>
      </c>
      <c r="F131" s="44"/>
      <c r="G131" s="40"/>
      <c r="H131" s="46"/>
    </row>
    <row r="132" spans="1:7" ht="12.75">
      <c r="A132" s="54" t="s">
        <v>78</v>
      </c>
      <c r="B132" s="66" t="s">
        <v>78</v>
      </c>
      <c r="C132" s="38" t="s">
        <v>78</v>
      </c>
      <c r="D132" s="188"/>
      <c r="E132" s="54" t="s">
        <v>78</v>
      </c>
      <c r="F132" s="44"/>
      <c r="G132" s="40"/>
    </row>
    <row r="133" spans="1:8" ht="25.5">
      <c r="A133" s="257" t="s">
        <v>78</v>
      </c>
      <c r="B133" s="257"/>
      <c r="C133" s="257"/>
      <c r="D133" s="257"/>
      <c r="E133" s="257"/>
      <c r="F133" s="257"/>
      <c r="G133" s="257"/>
      <c r="H133" s="257"/>
    </row>
    <row r="134" spans="1:8" ht="18.75">
      <c r="A134" s="244" t="s">
        <v>78</v>
      </c>
      <c r="B134" s="244"/>
      <c r="C134" s="244"/>
      <c r="D134" s="244"/>
      <c r="E134" s="244"/>
      <c r="F134" s="244"/>
      <c r="G134" s="244"/>
      <c r="H134" s="244"/>
    </row>
    <row r="135" ht="15.75">
      <c r="H135" s="61" t="s">
        <v>78</v>
      </c>
    </row>
    <row r="136" spans="1:8" ht="12.75" customHeight="1">
      <c r="A136" s="54" t="s">
        <v>78</v>
      </c>
      <c r="B136" s="66" t="s">
        <v>78</v>
      </c>
      <c r="C136" s="38" t="s">
        <v>78</v>
      </c>
      <c r="D136" s="27"/>
      <c r="E136" s="27"/>
      <c r="F136" s="27"/>
      <c r="G136" s="157"/>
      <c r="H136" s="158" t="s">
        <v>78</v>
      </c>
    </row>
    <row r="137" spans="1:8" ht="12.75" customHeight="1">
      <c r="A137" s="54"/>
      <c r="C137" s="27"/>
      <c r="D137" s="188" t="s">
        <v>78</v>
      </c>
      <c r="E137" s="54" t="s">
        <v>78</v>
      </c>
      <c r="F137" s="27"/>
      <c r="G137" s="157"/>
      <c r="H137" s="151"/>
    </row>
    <row r="138" spans="1:8" ht="12.75" customHeight="1">
      <c r="A138" s="54" t="s">
        <v>78</v>
      </c>
      <c r="B138" s="66" t="s">
        <v>78</v>
      </c>
      <c r="C138" s="27" t="s">
        <v>78</v>
      </c>
      <c r="D138" s="188"/>
      <c r="E138" s="54" t="s">
        <v>78</v>
      </c>
      <c r="F138" s="27"/>
      <c r="G138" s="27"/>
      <c r="H138" s="34"/>
    </row>
    <row r="139" spans="1:8" ht="12.75" customHeight="1">
      <c r="A139" s="54"/>
      <c r="C139" s="27"/>
      <c r="D139" s="49"/>
      <c r="E139" s="189" t="s">
        <v>78</v>
      </c>
      <c r="F139" s="54" t="s">
        <v>78</v>
      </c>
      <c r="G139" s="27"/>
      <c r="H139" s="34"/>
    </row>
    <row r="140" spans="1:8" ht="12.75" customHeight="1">
      <c r="A140" s="54" t="s">
        <v>78</v>
      </c>
      <c r="B140" s="66" t="s">
        <v>78</v>
      </c>
      <c r="C140" s="27" t="s">
        <v>78</v>
      </c>
      <c r="D140" s="49"/>
      <c r="E140" s="189"/>
      <c r="F140" s="54" t="s">
        <v>78</v>
      </c>
      <c r="G140" s="38"/>
      <c r="H140" s="34"/>
    </row>
    <row r="141" spans="1:8" ht="12.75" customHeight="1">
      <c r="A141" s="54"/>
      <c r="C141" s="27"/>
      <c r="D141" s="188" t="s">
        <v>78</v>
      </c>
      <c r="E141" s="54" t="s">
        <v>78</v>
      </c>
      <c r="F141" s="54"/>
      <c r="G141" s="38"/>
      <c r="H141" s="34"/>
    </row>
    <row r="142" spans="1:15" ht="12.75" customHeight="1">
      <c r="A142" s="54" t="s">
        <v>78</v>
      </c>
      <c r="B142" s="66" t="s">
        <v>78</v>
      </c>
      <c r="C142" s="27" t="s">
        <v>78</v>
      </c>
      <c r="D142" s="188"/>
      <c r="E142" s="54" t="s">
        <v>78</v>
      </c>
      <c r="F142" s="54"/>
      <c r="G142" s="38"/>
      <c r="H142" s="34"/>
      <c r="K142" s="252"/>
      <c r="L142" s="160"/>
      <c r="M142" s="27"/>
      <c r="N142" s="68"/>
      <c r="O142" s="68"/>
    </row>
    <row r="143" spans="1:15" ht="12.75" customHeight="1">
      <c r="A143" s="54"/>
      <c r="C143" s="27"/>
      <c r="D143" s="49"/>
      <c r="E143" s="44"/>
      <c r="F143" s="189" t="s">
        <v>78</v>
      </c>
      <c r="G143" s="54" t="s">
        <v>78</v>
      </c>
      <c r="H143" s="38"/>
      <c r="K143" s="252"/>
      <c r="L143" s="161"/>
      <c r="M143" s="27"/>
      <c r="N143" s="68"/>
      <c r="O143" s="68"/>
    </row>
    <row r="144" spans="1:15" ht="12.75" customHeight="1">
      <c r="A144" s="54" t="s">
        <v>78</v>
      </c>
      <c r="B144" s="66" t="s">
        <v>78</v>
      </c>
      <c r="C144" s="27" t="s">
        <v>78</v>
      </c>
      <c r="D144" s="49"/>
      <c r="E144" s="44"/>
      <c r="F144" s="189"/>
      <c r="G144" s="54" t="s">
        <v>78</v>
      </c>
      <c r="H144" s="38"/>
      <c r="K144" s="161"/>
      <c r="L144" s="161"/>
      <c r="M144" s="256"/>
      <c r="N144" s="254"/>
      <c r="O144" s="254"/>
    </row>
    <row r="145" spans="1:15" ht="12.75" customHeight="1">
      <c r="A145" s="54"/>
      <c r="C145" s="27"/>
      <c r="D145" s="188" t="s">
        <v>78</v>
      </c>
      <c r="E145" s="54" t="s">
        <v>78</v>
      </c>
      <c r="F145" s="54"/>
      <c r="G145" s="40"/>
      <c r="H145" s="38"/>
      <c r="K145" s="161"/>
      <c r="L145" s="161"/>
      <c r="M145" s="256"/>
      <c r="N145" s="255"/>
      <c r="O145" s="255"/>
    </row>
    <row r="146" spans="1:15" ht="12.75" customHeight="1">
      <c r="A146" s="54" t="s">
        <v>78</v>
      </c>
      <c r="B146" s="66" t="s">
        <v>78</v>
      </c>
      <c r="C146" s="27" t="s">
        <v>78</v>
      </c>
      <c r="D146" s="188"/>
      <c r="E146" s="54" t="s">
        <v>78</v>
      </c>
      <c r="F146" s="54"/>
      <c r="G146" s="40"/>
      <c r="H146" s="38"/>
      <c r="K146" s="252"/>
      <c r="L146" s="160"/>
      <c r="M146" s="27"/>
      <c r="N146" s="162"/>
      <c r="O146" s="162"/>
    </row>
    <row r="147" spans="1:15" ht="14.25" customHeight="1">
      <c r="A147" s="146" t="s">
        <v>78</v>
      </c>
      <c r="B147" s="48"/>
      <c r="C147" s="138" t="s">
        <v>78</v>
      </c>
      <c r="D147" s="163"/>
      <c r="E147" s="190" t="s">
        <v>78</v>
      </c>
      <c r="F147" s="40" t="s">
        <v>78</v>
      </c>
      <c r="G147" s="40"/>
      <c r="H147" s="38"/>
      <c r="K147" s="252"/>
      <c r="L147" s="161"/>
      <c r="M147" s="27"/>
      <c r="N147" s="162"/>
      <c r="O147" s="162"/>
    </row>
    <row r="148" spans="1:8" ht="12.75" customHeight="1">
      <c r="A148" s="40" t="s">
        <v>78</v>
      </c>
      <c r="B148" s="48" t="s">
        <v>78</v>
      </c>
      <c r="C148" s="38" t="s">
        <v>78</v>
      </c>
      <c r="D148" s="163"/>
      <c r="E148" s="190"/>
      <c r="F148" s="40" t="s">
        <v>78</v>
      </c>
      <c r="G148" s="27"/>
      <c r="H148" s="38"/>
    </row>
    <row r="149" spans="1:8" ht="12.75" customHeight="1">
      <c r="A149" s="164" t="s">
        <v>78</v>
      </c>
      <c r="B149" s="48" t="s">
        <v>52</v>
      </c>
      <c r="C149" s="38"/>
      <c r="D149" s="188" t="s">
        <v>78</v>
      </c>
      <c r="E149" s="40" t="s">
        <v>78</v>
      </c>
      <c r="F149" s="46"/>
      <c r="G149" s="27"/>
      <c r="H149" s="38"/>
    </row>
    <row r="150" spans="1:8" ht="12.75" customHeight="1">
      <c r="A150" s="40" t="s">
        <v>78</v>
      </c>
      <c r="B150" s="48" t="s">
        <v>78</v>
      </c>
      <c r="C150" s="38" t="s">
        <v>78</v>
      </c>
      <c r="D150" s="188"/>
      <c r="E150" s="40" t="s">
        <v>78</v>
      </c>
      <c r="F150" s="40"/>
      <c r="G150" s="27"/>
      <c r="H150" s="38"/>
    </row>
    <row r="151" spans="1:8" ht="15.75" customHeight="1">
      <c r="A151" s="40"/>
      <c r="B151" s="48"/>
      <c r="C151" s="38"/>
      <c r="D151" s="252" t="s">
        <v>78</v>
      </c>
      <c r="E151" s="253" t="s">
        <v>78</v>
      </c>
      <c r="F151" s="253"/>
      <c r="G151" s="189" t="s">
        <v>78</v>
      </c>
      <c r="H151" s="40" t="s">
        <v>78</v>
      </c>
    </row>
    <row r="152" spans="1:8" ht="12.75" customHeight="1">
      <c r="A152" s="40" t="s">
        <v>78</v>
      </c>
      <c r="B152" s="48" t="s">
        <v>78</v>
      </c>
      <c r="C152" s="38" t="s">
        <v>78</v>
      </c>
      <c r="D152" s="252"/>
      <c r="E152" s="245" t="s">
        <v>78</v>
      </c>
      <c r="F152" s="245"/>
      <c r="G152" s="189"/>
      <c r="H152" s="40" t="s">
        <v>78</v>
      </c>
    </row>
    <row r="153" spans="1:8" ht="12.75" customHeight="1">
      <c r="A153" s="40"/>
      <c r="B153" s="48"/>
      <c r="C153" s="38"/>
      <c r="D153" s="188" t="s">
        <v>78</v>
      </c>
      <c r="E153" s="40" t="s">
        <v>78</v>
      </c>
      <c r="F153" s="38"/>
      <c r="G153" s="40"/>
      <c r="H153" s="38"/>
    </row>
    <row r="154" spans="1:8" ht="12.75" customHeight="1">
      <c r="A154" s="40" t="s">
        <v>78</v>
      </c>
      <c r="B154" s="48" t="s">
        <v>78</v>
      </c>
      <c r="C154" s="38" t="s">
        <v>78</v>
      </c>
      <c r="D154" s="188"/>
      <c r="E154" s="40" t="s">
        <v>78</v>
      </c>
      <c r="F154" s="38"/>
      <c r="G154" s="40"/>
      <c r="H154" s="38"/>
    </row>
    <row r="155" spans="1:8" ht="12.75" customHeight="1">
      <c r="A155" s="146" t="s">
        <v>78</v>
      </c>
      <c r="B155" s="48"/>
      <c r="C155" s="138" t="s">
        <v>78</v>
      </c>
      <c r="D155" s="156"/>
      <c r="E155" s="190" t="s">
        <v>78</v>
      </c>
      <c r="F155" s="40" t="s">
        <v>78</v>
      </c>
      <c r="G155" s="40"/>
      <c r="H155" s="38"/>
    </row>
    <row r="156" spans="1:8" ht="12.75" customHeight="1">
      <c r="A156" s="40" t="s">
        <v>78</v>
      </c>
      <c r="B156" s="48" t="s">
        <v>78</v>
      </c>
      <c r="C156" s="38" t="s">
        <v>78</v>
      </c>
      <c r="D156" s="156"/>
      <c r="E156" s="190"/>
      <c r="F156" s="40" t="s">
        <v>78</v>
      </c>
      <c r="G156" s="27"/>
      <c r="H156" s="38"/>
    </row>
    <row r="157" spans="1:8" ht="12.75" customHeight="1">
      <c r="A157" s="54"/>
      <c r="C157" s="27"/>
      <c r="D157" s="188" t="s">
        <v>78</v>
      </c>
      <c r="E157" s="54" t="s">
        <v>78</v>
      </c>
      <c r="F157" s="27"/>
      <c r="G157" s="27"/>
      <c r="H157" s="38"/>
    </row>
    <row r="158" spans="1:8" ht="12.75" customHeight="1">
      <c r="A158" s="54" t="s">
        <v>78</v>
      </c>
      <c r="B158" s="66" t="s">
        <v>78</v>
      </c>
      <c r="C158" s="27" t="s">
        <v>78</v>
      </c>
      <c r="D158" s="188"/>
      <c r="E158" s="54" t="s">
        <v>78</v>
      </c>
      <c r="F158" s="27"/>
      <c r="G158" s="27"/>
      <c r="H158" s="38"/>
    </row>
    <row r="159" spans="1:8" ht="12.75" customHeight="1">
      <c r="A159" s="54"/>
      <c r="C159" s="27"/>
      <c r="D159" s="51"/>
      <c r="E159" s="54"/>
      <c r="F159" s="189" t="s">
        <v>78</v>
      </c>
      <c r="G159" s="54" t="s">
        <v>78</v>
      </c>
      <c r="H159" s="38"/>
    </row>
    <row r="160" spans="1:8" ht="12.75" customHeight="1">
      <c r="A160" s="54" t="s">
        <v>78</v>
      </c>
      <c r="B160" s="66" t="s">
        <v>78</v>
      </c>
      <c r="C160" s="27" t="s">
        <v>78</v>
      </c>
      <c r="D160" s="49"/>
      <c r="E160" s="27"/>
      <c r="F160" s="189"/>
      <c r="G160" s="54" t="s">
        <v>78</v>
      </c>
      <c r="H160" s="48"/>
    </row>
    <row r="161" spans="1:8" ht="12.75" customHeight="1">
      <c r="A161" s="54"/>
      <c r="C161" s="68"/>
      <c r="D161" s="188" t="s">
        <v>78</v>
      </c>
      <c r="E161" s="54" t="s">
        <v>78</v>
      </c>
      <c r="F161" s="44"/>
      <c r="G161" s="27"/>
      <c r="H161" s="40"/>
    </row>
    <row r="162" spans="1:8" ht="12.75" customHeight="1">
      <c r="A162" s="54" t="s">
        <v>78</v>
      </c>
      <c r="B162" s="66" t="s">
        <v>78</v>
      </c>
      <c r="C162" s="27" t="s">
        <v>78</v>
      </c>
      <c r="D162" s="188"/>
      <c r="E162" s="54" t="s">
        <v>78</v>
      </c>
      <c r="F162" s="44"/>
      <c r="G162" s="27"/>
      <c r="H162" s="40"/>
    </row>
    <row r="163" spans="1:8" ht="12.75" customHeight="1">
      <c r="A163" s="54"/>
      <c r="C163" s="27"/>
      <c r="D163" s="49"/>
      <c r="E163" s="189" t="s">
        <v>78</v>
      </c>
      <c r="F163" s="54" t="s">
        <v>78</v>
      </c>
      <c r="G163" s="27"/>
      <c r="H163" s="40"/>
    </row>
    <row r="164" spans="1:8" ht="12.75" customHeight="1">
      <c r="A164" s="54" t="s">
        <v>78</v>
      </c>
      <c r="B164" s="66" t="s">
        <v>78</v>
      </c>
      <c r="C164" s="27" t="s">
        <v>78</v>
      </c>
      <c r="D164" s="49"/>
      <c r="E164" s="189"/>
      <c r="F164" s="54" t="s">
        <v>78</v>
      </c>
      <c r="G164" s="27"/>
      <c r="H164" s="59"/>
    </row>
    <row r="165" spans="1:8" ht="12.75" customHeight="1">
      <c r="A165" s="54"/>
      <c r="C165" s="27"/>
      <c r="D165" s="188" t="s">
        <v>78</v>
      </c>
      <c r="E165" s="54" t="s">
        <v>78</v>
      </c>
      <c r="F165" s="44"/>
      <c r="G165" s="27"/>
      <c r="H165" s="40"/>
    </row>
    <row r="166" spans="1:8" ht="12.75" customHeight="1">
      <c r="A166" s="54" t="s">
        <v>78</v>
      </c>
      <c r="B166" s="66" t="s">
        <v>78</v>
      </c>
      <c r="C166" s="38" t="s">
        <v>78</v>
      </c>
      <c r="D166" s="188"/>
      <c r="E166" s="54" t="s">
        <v>78</v>
      </c>
      <c r="F166" s="44"/>
      <c r="G166" s="27"/>
      <c r="H166" s="40"/>
    </row>
    <row r="167" spans="1:8" ht="12.75" customHeight="1">
      <c r="A167" s="54"/>
      <c r="B167" s="27"/>
      <c r="C167" s="68"/>
      <c r="D167" s="68"/>
      <c r="E167" s="68"/>
      <c r="F167" s="44"/>
      <c r="G167" s="258" t="s">
        <v>78</v>
      </c>
      <c r="H167" s="153" t="s">
        <v>78</v>
      </c>
    </row>
    <row r="168" spans="1:8" ht="12.75" customHeight="1">
      <c r="A168" s="54" t="s">
        <v>78</v>
      </c>
      <c r="B168" s="66" t="s">
        <v>78</v>
      </c>
      <c r="C168" s="38" t="s">
        <v>78</v>
      </c>
      <c r="D168" s="49"/>
      <c r="E168" s="68"/>
      <c r="F168" s="68"/>
      <c r="G168" s="258"/>
      <c r="H168" s="155" t="s">
        <v>78</v>
      </c>
    </row>
    <row r="169" spans="1:8" ht="12.75" customHeight="1">
      <c r="A169" s="54"/>
      <c r="B169" s="27"/>
      <c r="C169" s="68"/>
      <c r="D169" s="188" t="s">
        <v>78</v>
      </c>
      <c r="E169" s="54" t="s">
        <v>78</v>
      </c>
      <c r="F169" s="68"/>
      <c r="G169" s="40"/>
      <c r="H169" s="40"/>
    </row>
    <row r="170" spans="1:8" ht="12.75" customHeight="1">
      <c r="A170" s="54" t="s">
        <v>78</v>
      </c>
      <c r="B170" s="66" t="s">
        <v>78</v>
      </c>
      <c r="C170" s="27" t="s">
        <v>78</v>
      </c>
      <c r="D170" s="188"/>
      <c r="E170" s="54" t="s">
        <v>78</v>
      </c>
      <c r="F170" s="44"/>
      <c r="G170" s="40"/>
      <c r="H170" s="40"/>
    </row>
    <row r="171" spans="1:8" ht="12.75" customHeight="1">
      <c r="A171" s="54"/>
      <c r="B171" s="27"/>
      <c r="C171" s="68"/>
      <c r="D171" s="68"/>
      <c r="E171" s="189" t="s">
        <v>78</v>
      </c>
      <c r="F171" s="54" t="s">
        <v>78</v>
      </c>
      <c r="G171" s="40"/>
      <c r="H171" s="40"/>
    </row>
    <row r="172" spans="1:8" ht="12.75" customHeight="1">
      <c r="A172" s="54" t="s">
        <v>78</v>
      </c>
      <c r="B172" s="66" t="s">
        <v>78</v>
      </c>
      <c r="C172" s="27" t="s">
        <v>78</v>
      </c>
      <c r="D172" s="51"/>
      <c r="E172" s="189"/>
      <c r="F172" s="54" t="s">
        <v>78</v>
      </c>
      <c r="G172" s="40"/>
      <c r="H172" s="40"/>
    </row>
    <row r="173" spans="1:8" ht="12.75" customHeight="1">
      <c r="A173" s="54"/>
      <c r="B173" s="27"/>
      <c r="C173" s="27"/>
      <c r="D173" s="188" t="s">
        <v>78</v>
      </c>
      <c r="E173" s="54" t="s">
        <v>78</v>
      </c>
      <c r="F173" s="44"/>
      <c r="G173" s="40"/>
      <c r="H173" s="40"/>
    </row>
    <row r="174" spans="1:8" ht="12.75" customHeight="1">
      <c r="A174" s="54" t="s">
        <v>78</v>
      </c>
      <c r="B174" s="66" t="s">
        <v>78</v>
      </c>
      <c r="C174" s="27" t="s">
        <v>78</v>
      </c>
      <c r="D174" s="188"/>
      <c r="E174" s="54" t="s">
        <v>78</v>
      </c>
      <c r="F174" s="44"/>
      <c r="G174" s="40"/>
      <c r="H174" s="40"/>
    </row>
    <row r="175" spans="1:8" ht="12.75" customHeight="1">
      <c r="A175" s="54"/>
      <c r="B175" s="27"/>
      <c r="C175" s="27"/>
      <c r="D175" s="51"/>
      <c r="E175" s="27"/>
      <c r="F175" s="189" t="s">
        <v>78</v>
      </c>
      <c r="G175" s="54" t="s">
        <v>78</v>
      </c>
      <c r="H175" s="40"/>
    </row>
    <row r="176" spans="1:8" ht="12.75" customHeight="1">
      <c r="A176" s="54" t="s">
        <v>78</v>
      </c>
      <c r="B176" s="66" t="s">
        <v>78</v>
      </c>
      <c r="C176" s="27" t="s">
        <v>78</v>
      </c>
      <c r="D176" s="51"/>
      <c r="E176" s="27"/>
      <c r="F176" s="189"/>
      <c r="G176" s="54" t="s">
        <v>78</v>
      </c>
      <c r="H176" s="40"/>
    </row>
    <row r="177" spans="1:8" ht="12.75" customHeight="1">
      <c r="A177" s="54"/>
      <c r="B177" s="27"/>
      <c r="C177" s="27"/>
      <c r="D177" s="188" t="s">
        <v>78</v>
      </c>
      <c r="E177" s="54" t="s">
        <v>78</v>
      </c>
      <c r="F177" s="44"/>
      <c r="G177" s="40"/>
      <c r="H177" s="40"/>
    </row>
    <row r="178" spans="1:8" ht="12.75" customHeight="1">
      <c r="A178" s="54" t="s">
        <v>78</v>
      </c>
      <c r="B178" s="66" t="s">
        <v>78</v>
      </c>
      <c r="C178" s="27" t="s">
        <v>78</v>
      </c>
      <c r="D178" s="188"/>
      <c r="E178" s="54" t="s">
        <v>78</v>
      </c>
      <c r="F178" s="44"/>
      <c r="G178" s="40"/>
      <c r="H178" s="40"/>
    </row>
    <row r="179" spans="1:8" ht="12.75" customHeight="1">
      <c r="A179" s="54"/>
      <c r="B179" s="27"/>
      <c r="C179" s="27"/>
      <c r="D179" s="51"/>
      <c r="E179" s="189" t="s">
        <v>78</v>
      </c>
      <c r="F179" s="54" t="s">
        <v>78</v>
      </c>
      <c r="G179" s="40"/>
      <c r="H179" s="40"/>
    </row>
    <row r="180" spans="1:8" ht="12.75" customHeight="1">
      <c r="A180" s="54" t="s">
        <v>78</v>
      </c>
      <c r="B180" s="66" t="s">
        <v>78</v>
      </c>
      <c r="C180" s="27" t="s">
        <v>78</v>
      </c>
      <c r="D180" s="51"/>
      <c r="E180" s="189"/>
      <c r="F180" s="54" t="s">
        <v>78</v>
      </c>
      <c r="G180" s="40"/>
      <c r="H180" s="40"/>
    </row>
    <row r="181" spans="1:8" ht="12.75" customHeight="1">
      <c r="A181" s="54"/>
      <c r="B181" s="27"/>
      <c r="C181" s="27"/>
      <c r="D181" s="188" t="s">
        <v>78</v>
      </c>
      <c r="E181" s="54" t="s">
        <v>78</v>
      </c>
      <c r="F181" s="44"/>
      <c r="G181" s="40"/>
      <c r="H181" s="40"/>
    </row>
    <row r="182" spans="1:8" ht="12.75" customHeight="1">
      <c r="A182" s="54" t="s">
        <v>78</v>
      </c>
      <c r="B182" s="66" t="s">
        <v>78</v>
      </c>
      <c r="C182" s="27" t="s">
        <v>78</v>
      </c>
      <c r="D182" s="188"/>
      <c r="E182" s="54" t="s">
        <v>78</v>
      </c>
      <c r="F182" s="44"/>
      <c r="G182" s="40"/>
      <c r="H182" s="40"/>
    </row>
    <row r="183" spans="1:8" ht="12.75" customHeight="1">
      <c r="A183" s="54"/>
      <c r="B183" s="27"/>
      <c r="C183" s="27"/>
      <c r="D183" s="51"/>
      <c r="E183" s="27"/>
      <c r="F183" s="44"/>
      <c r="G183" s="189" t="s">
        <v>78</v>
      </c>
      <c r="H183" s="40" t="s">
        <v>78</v>
      </c>
    </row>
    <row r="184" spans="1:8" ht="12.75" customHeight="1">
      <c r="A184" s="54" t="s">
        <v>78</v>
      </c>
      <c r="B184" s="66" t="s">
        <v>78</v>
      </c>
      <c r="C184" s="27" t="s">
        <v>78</v>
      </c>
      <c r="D184" s="51"/>
      <c r="E184" s="27"/>
      <c r="F184" s="44"/>
      <c r="G184" s="189"/>
      <c r="H184" s="40" t="s">
        <v>78</v>
      </c>
    </row>
    <row r="185" spans="1:8" ht="12.75" customHeight="1">
      <c r="A185" s="54"/>
      <c r="B185" s="27"/>
      <c r="C185" s="27"/>
      <c r="D185" s="188" t="s">
        <v>78</v>
      </c>
      <c r="E185" s="54" t="s">
        <v>78</v>
      </c>
      <c r="F185" s="44"/>
      <c r="G185" s="40"/>
      <c r="H185" s="40"/>
    </row>
    <row r="186" spans="1:8" ht="12.75" customHeight="1">
      <c r="A186" s="54" t="s">
        <v>78</v>
      </c>
      <c r="B186" s="66" t="s">
        <v>78</v>
      </c>
      <c r="C186" s="27" t="s">
        <v>78</v>
      </c>
      <c r="D186" s="188"/>
      <c r="E186" s="54" t="s">
        <v>78</v>
      </c>
      <c r="F186" s="44"/>
      <c r="G186" s="40"/>
      <c r="H186" s="40"/>
    </row>
    <row r="187" spans="1:8" ht="12.75" customHeight="1">
      <c r="A187" s="54"/>
      <c r="B187" s="27"/>
      <c r="C187" s="27"/>
      <c r="D187" s="51"/>
      <c r="E187" s="189" t="s">
        <v>78</v>
      </c>
      <c r="F187" s="54" t="s">
        <v>78</v>
      </c>
      <c r="G187" s="40"/>
      <c r="H187" s="40"/>
    </row>
    <row r="188" spans="1:8" ht="12.75" customHeight="1">
      <c r="A188" s="54" t="s">
        <v>78</v>
      </c>
      <c r="B188" s="66" t="s">
        <v>78</v>
      </c>
      <c r="C188" s="27" t="s">
        <v>78</v>
      </c>
      <c r="D188" s="51"/>
      <c r="E188" s="189"/>
      <c r="F188" s="54" t="s">
        <v>78</v>
      </c>
      <c r="G188" s="40"/>
      <c r="H188" s="40"/>
    </row>
    <row r="189" spans="1:8" ht="12.75" customHeight="1">
      <c r="A189" s="54"/>
      <c r="B189" s="27"/>
      <c r="C189" s="27"/>
      <c r="D189" s="188" t="s">
        <v>78</v>
      </c>
      <c r="E189" s="54" t="s">
        <v>78</v>
      </c>
      <c r="F189" s="44"/>
      <c r="G189" s="40"/>
      <c r="H189" s="40"/>
    </row>
    <row r="190" spans="1:8" ht="12.75" customHeight="1">
      <c r="A190" s="54" t="s">
        <v>78</v>
      </c>
      <c r="B190" s="66" t="s">
        <v>78</v>
      </c>
      <c r="C190" s="27" t="s">
        <v>78</v>
      </c>
      <c r="D190" s="188"/>
      <c r="E190" s="54" t="s">
        <v>78</v>
      </c>
      <c r="F190" s="44"/>
      <c r="G190" s="40"/>
      <c r="H190" s="40"/>
    </row>
    <row r="191" spans="1:8" ht="12.75" customHeight="1">
      <c r="A191" s="54"/>
      <c r="B191" s="27"/>
      <c r="C191" s="27"/>
      <c r="D191" s="51"/>
      <c r="E191" s="27"/>
      <c r="F191" s="189" t="s">
        <v>78</v>
      </c>
      <c r="G191" s="54" t="s">
        <v>78</v>
      </c>
      <c r="H191" s="40"/>
    </row>
    <row r="192" spans="1:8" ht="12.75" customHeight="1">
      <c r="A192" s="54" t="s">
        <v>78</v>
      </c>
      <c r="B192" s="66" t="s">
        <v>78</v>
      </c>
      <c r="C192" s="27" t="s">
        <v>78</v>
      </c>
      <c r="D192" s="51"/>
      <c r="E192" s="27"/>
      <c r="F192" s="189"/>
      <c r="G192" s="54" t="s">
        <v>78</v>
      </c>
      <c r="H192" s="40"/>
    </row>
    <row r="193" spans="1:8" ht="12.75" customHeight="1">
      <c r="A193" s="54"/>
      <c r="B193" s="27"/>
      <c r="C193" s="27"/>
      <c r="D193" s="188" t="s">
        <v>78</v>
      </c>
      <c r="E193" s="54" t="s">
        <v>78</v>
      </c>
      <c r="F193" s="44"/>
      <c r="G193" s="40"/>
      <c r="H193" s="40"/>
    </row>
    <row r="194" spans="1:8" ht="12.75" customHeight="1">
      <c r="A194" s="54" t="s">
        <v>78</v>
      </c>
      <c r="B194" s="66" t="s">
        <v>78</v>
      </c>
      <c r="C194" s="27" t="s">
        <v>78</v>
      </c>
      <c r="D194" s="188"/>
      <c r="E194" s="54" t="s">
        <v>78</v>
      </c>
      <c r="F194" s="44"/>
      <c r="G194" s="40"/>
      <c r="H194" s="40"/>
    </row>
    <row r="195" spans="1:8" ht="12.75" customHeight="1">
      <c r="A195" s="54"/>
      <c r="B195" s="27"/>
      <c r="C195" s="27"/>
      <c r="D195" s="51"/>
      <c r="E195" s="189" t="s">
        <v>78</v>
      </c>
      <c r="F195" s="54" t="s">
        <v>78</v>
      </c>
      <c r="G195" s="40"/>
      <c r="H195" s="40"/>
    </row>
    <row r="196" spans="1:8" ht="12.75" customHeight="1">
      <c r="A196" s="54" t="s">
        <v>78</v>
      </c>
      <c r="B196" s="66" t="s">
        <v>78</v>
      </c>
      <c r="C196" s="27" t="s">
        <v>78</v>
      </c>
      <c r="D196" s="51"/>
      <c r="E196" s="189"/>
      <c r="F196" s="54" t="s">
        <v>78</v>
      </c>
      <c r="G196" s="40"/>
      <c r="H196" s="40"/>
    </row>
    <row r="197" spans="1:8" ht="12.75" customHeight="1">
      <c r="A197" s="54"/>
      <c r="B197" s="27"/>
      <c r="C197" s="27"/>
      <c r="D197" s="188" t="s">
        <v>78</v>
      </c>
      <c r="E197" s="54" t="s">
        <v>78</v>
      </c>
      <c r="F197" s="44"/>
      <c r="G197" s="40"/>
      <c r="H197" s="40"/>
    </row>
    <row r="198" spans="1:8" ht="12.75" customHeight="1">
      <c r="A198" s="54" t="s">
        <v>78</v>
      </c>
      <c r="B198" s="66" t="s">
        <v>78</v>
      </c>
      <c r="C198" s="38" t="s">
        <v>78</v>
      </c>
      <c r="D198" s="188"/>
      <c r="E198" s="68" t="s">
        <v>78</v>
      </c>
      <c r="F198" s="44"/>
      <c r="G198" s="40"/>
      <c r="H198" s="40"/>
    </row>
    <row r="199" spans="1:8" ht="25.5">
      <c r="A199" s="257" t="s">
        <v>78</v>
      </c>
      <c r="B199" s="257"/>
      <c r="C199" s="257"/>
      <c r="D199" s="257"/>
      <c r="E199" s="257"/>
      <c r="F199" s="257"/>
      <c r="G199" s="257"/>
      <c r="H199" s="257"/>
    </row>
    <row r="200" spans="1:8" ht="18.75">
      <c r="A200" s="244" t="s">
        <v>78</v>
      </c>
      <c r="B200" s="244"/>
      <c r="C200" s="244"/>
      <c r="D200" s="244"/>
      <c r="E200" s="244"/>
      <c r="F200" s="244"/>
      <c r="G200" s="244"/>
      <c r="H200" s="244"/>
    </row>
    <row r="201" spans="3:8" ht="15.75">
      <c r="C201" s="22"/>
      <c r="D201" s="24"/>
      <c r="H201" s="61" t="s">
        <v>78</v>
      </c>
    </row>
    <row r="202" spans="1:8" ht="12.75" customHeight="1">
      <c r="A202" s="54" t="s">
        <v>78</v>
      </c>
      <c r="B202" s="66" t="s">
        <v>78</v>
      </c>
      <c r="C202" s="38" t="s">
        <v>78</v>
      </c>
      <c r="D202" s="27"/>
      <c r="E202" s="22"/>
      <c r="F202" s="22"/>
      <c r="G202" s="35"/>
      <c r="H202" s="158" t="s">
        <v>78</v>
      </c>
    </row>
    <row r="203" spans="1:7" ht="12.75" customHeight="1">
      <c r="A203" s="54"/>
      <c r="C203" s="22"/>
      <c r="D203" s="188" t="s">
        <v>78</v>
      </c>
      <c r="E203" s="54" t="s">
        <v>78</v>
      </c>
      <c r="F203" s="22"/>
      <c r="G203" s="35"/>
    </row>
    <row r="204" spans="1:7" ht="12.75" customHeight="1">
      <c r="A204" s="54" t="s">
        <v>78</v>
      </c>
      <c r="B204" s="66" t="s">
        <v>78</v>
      </c>
      <c r="C204" s="27" t="s">
        <v>78</v>
      </c>
      <c r="D204" s="188"/>
      <c r="E204" s="54" t="s">
        <v>78</v>
      </c>
      <c r="F204" s="27"/>
      <c r="G204" s="22"/>
    </row>
    <row r="205" spans="1:7" ht="12.75" customHeight="1">
      <c r="A205" s="54"/>
      <c r="C205" s="22"/>
      <c r="D205" s="39"/>
      <c r="E205" s="189" t="s">
        <v>78</v>
      </c>
      <c r="F205" s="54" t="s">
        <v>78</v>
      </c>
      <c r="G205" s="22"/>
    </row>
    <row r="206" spans="1:7" ht="12.75" customHeight="1">
      <c r="A206" s="54" t="s">
        <v>78</v>
      </c>
      <c r="B206" s="66" t="s">
        <v>78</v>
      </c>
      <c r="C206" s="27" t="s">
        <v>78</v>
      </c>
      <c r="D206" s="49"/>
      <c r="E206" s="189"/>
      <c r="F206" s="54" t="s">
        <v>78</v>
      </c>
      <c r="G206" s="38"/>
    </row>
    <row r="207" spans="1:7" ht="12.75" customHeight="1">
      <c r="A207" s="54"/>
      <c r="C207" s="22"/>
      <c r="D207" s="188" t="s">
        <v>78</v>
      </c>
      <c r="E207" s="54" t="s">
        <v>78</v>
      </c>
      <c r="F207" s="54"/>
      <c r="G207" s="38"/>
    </row>
    <row r="208" spans="1:7" ht="12.75" customHeight="1">
      <c r="A208" s="54" t="s">
        <v>78</v>
      </c>
      <c r="B208" s="66" t="s">
        <v>78</v>
      </c>
      <c r="C208" s="27" t="s">
        <v>78</v>
      </c>
      <c r="D208" s="188"/>
      <c r="E208" s="54" t="s">
        <v>78</v>
      </c>
      <c r="F208" s="54"/>
      <c r="G208" s="38"/>
    </row>
    <row r="209" spans="1:8" ht="12.75" customHeight="1">
      <c r="A209" s="54"/>
      <c r="C209" s="22"/>
      <c r="D209" s="39"/>
      <c r="E209" s="44"/>
      <c r="F209" s="189" t="s">
        <v>78</v>
      </c>
      <c r="G209" s="54" t="s">
        <v>78</v>
      </c>
      <c r="H209" s="46"/>
    </row>
    <row r="210" spans="1:8" ht="12.75" customHeight="1">
      <c r="A210" s="54" t="s">
        <v>78</v>
      </c>
      <c r="B210" s="66" t="s">
        <v>78</v>
      </c>
      <c r="C210" s="27" t="s">
        <v>78</v>
      </c>
      <c r="D210" s="49"/>
      <c r="E210" s="44"/>
      <c r="F210" s="189"/>
      <c r="G210" s="54" t="s">
        <v>78</v>
      </c>
      <c r="H210" s="46"/>
    </row>
    <row r="211" spans="1:8" ht="12.75" customHeight="1">
      <c r="A211" s="54"/>
      <c r="C211" s="22"/>
      <c r="D211" s="188" t="s">
        <v>78</v>
      </c>
      <c r="E211" s="54" t="s">
        <v>78</v>
      </c>
      <c r="F211" s="54"/>
      <c r="G211" s="40"/>
      <c r="H211" s="46"/>
    </row>
    <row r="212" spans="1:8" ht="12.75" customHeight="1">
      <c r="A212" s="54" t="s">
        <v>78</v>
      </c>
      <c r="B212" s="66" t="s">
        <v>78</v>
      </c>
      <c r="C212" s="27" t="s">
        <v>78</v>
      </c>
      <c r="D212" s="188"/>
      <c r="E212" s="54" t="s">
        <v>78</v>
      </c>
      <c r="F212" s="54"/>
      <c r="G212" s="40"/>
      <c r="H212" s="46"/>
    </row>
    <row r="213" spans="1:8" ht="12.75" customHeight="1">
      <c r="A213" s="54"/>
      <c r="C213" s="22"/>
      <c r="D213" s="39"/>
      <c r="E213" s="189" t="s">
        <v>78</v>
      </c>
      <c r="F213" s="54" t="s">
        <v>78</v>
      </c>
      <c r="G213" s="40"/>
      <c r="H213" s="46"/>
    </row>
    <row r="214" spans="1:8" ht="12.75" customHeight="1">
      <c r="A214" s="54" t="s">
        <v>78</v>
      </c>
      <c r="B214" s="66" t="s">
        <v>78</v>
      </c>
      <c r="C214" s="27" t="s">
        <v>78</v>
      </c>
      <c r="D214" s="49"/>
      <c r="E214" s="189"/>
      <c r="F214" s="54" t="s">
        <v>78</v>
      </c>
      <c r="G214" s="27"/>
      <c r="H214" s="46"/>
    </row>
    <row r="215" spans="1:8" ht="12.75" customHeight="1">
      <c r="A215" s="54"/>
      <c r="C215" s="22"/>
      <c r="D215" s="188" t="s">
        <v>78</v>
      </c>
      <c r="E215" s="54" t="s">
        <v>78</v>
      </c>
      <c r="F215" s="68"/>
      <c r="G215" s="27"/>
      <c r="H215" s="38"/>
    </row>
    <row r="216" spans="1:8" ht="12.75" customHeight="1">
      <c r="A216" s="54" t="s">
        <v>78</v>
      </c>
      <c r="B216" s="66" t="s">
        <v>78</v>
      </c>
      <c r="C216" s="27" t="s">
        <v>78</v>
      </c>
      <c r="D216" s="188"/>
      <c r="E216" s="54" t="s">
        <v>78</v>
      </c>
      <c r="F216" s="54"/>
      <c r="G216" s="27"/>
      <c r="H216" s="38"/>
    </row>
    <row r="217" spans="1:8" ht="12.75" customHeight="1">
      <c r="A217" s="54"/>
      <c r="C217" s="22"/>
      <c r="D217" s="39"/>
      <c r="E217" s="68"/>
      <c r="F217" s="54"/>
      <c r="G217" s="189" t="s">
        <v>78</v>
      </c>
      <c r="H217" s="40" t="s">
        <v>78</v>
      </c>
    </row>
    <row r="218" spans="1:8" ht="12.75" customHeight="1">
      <c r="A218" s="54" t="s">
        <v>78</v>
      </c>
      <c r="B218" s="66" t="s">
        <v>78</v>
      </c>
      <c r="C218" s="27" t="s">
        <v>78</v>
      </c>
      <c r="D218" s="49"/>
      <c r="E218" s="44"/>
      <c r="F218" s="68"/>
      <c r="G218" s="189"/>
      <c r="H218" s="40" t="s">
        <v>78</v>
      </c>
    </row>
    <row r="219" spans="1:8" ht="12.75" customHeight="1">
      <c r="A219" s="54"/>
      <c r="C219" s="27"/>
      <c r="D219" s="188" t="s">
        <v>78</v>
      </c>
      <c r="E219" s="54" t="s">
        <v>78</v>
      </c>
      <c r="F219" s="27"/>
      <c r="G219" s="40"/>
      <c r="H219" s="38"/>
    </row>
    <row r="220" spans="1:8" ht="12.75" customHeight="1">
      <c r="A220" s="54" t="s">
        <v>78</v>
      </c>
      <c r="B220" s="66" t="s">
        <v>78</v>
      </c>
      <c r="C220" s="27" t="s">
        <v>78</v>
      </c>
      <c r="D220" s="188"/>
      <c r="E220" s="54" t="s">
        <v>78</v>
      </c>
      <c r="F220" s="27"/>
      <c r="G220" s="40"/>
      <c r="H220" s="38"/>
    </row>
    <row r="221" spans="1:8" ht="12.75" customHeight="1">
      <c r="A221" s="54"/>
      <c r="C221" s="27"/>
      <c r="D221" s="51"/>
      <c r="E221" s="189" t="s">
        <v>78</v>
      </c>
      <c r="F221" s="54" t="s">
        <v>78</v>
      </c>
      <c r="G221" s="40"/>
      <c r="H221" s="46"/>
    </row>
    <row r="222" spans="1:8" ht="12.75" customHeight="1">
      <c r="A222" s="54" t="s">
        <v>78</v>
      </c>
      <c r="B222" s="66" t="s">
        <v>78</v>
      </c>
      <c r="C222" s="27" t="s">
        <v>78</v>
      </c>
      <c r="D222" s="51"/>
      <c r="E222" s="189"/>
      <c r="F222" s="54" t="s">
        <v>78</v>
      </c>
      <c r="G222" s="27"/>
      <c r="H222" s="46"/>
    </row>
    <row r="223" spans="1:8" ht="12.75" customHeight="1">
      <c r="A223" s="54"/>
      <c r="C223" s="27"/>
      <c r="D223" s="188" t="s">
        <v>78</v>
      </c>
      <c r="E223" s="54" t="s">
        <v>78</v>
      </c>
      <c r="F223" s="27"/>
      <c r="G223" s="27"/>
      <c r="H223" s="46"/>
    </row>
    <row r="224" spans="1:8" ht="12.75" customHeight="1">
      <c r="A224" s="54" t="s">
        <v>78</v>
      </c>
      <c r="B224" s="66" t="s">
        <v>78</v>
      </c>
      <c r="C224" s="27" t="s">
        <v>78</v>
      </c>
      <c r="D224" s="188"/>
      <c r="E224" s="54" t="s">
        <v>78</v>
      </c>
      <c r="F224" s="27"/>
      <c r="G224" s="27"/>
      <c r="H224" s="46"/>
    </row>
    <row r="225" spans="1:8" ht="12.75" customHeight="1">
      <c r="A225" s="54"/>
      <c r="C225" s="27"/>
      <c r="D225" s="51"/>
      <c r="E225" s="54"/>
      <c r="F225" s="189" t="s">
        <v>78</v>
      </c>
      <c r="G225" s="54" t="s">
        <v>78</v>
      </c>
      <c r="H225" s="46"/>
    </row>
    <row r="226" spans="1:8" ht="12.75" customHeight="1">
      <c r="A226" s="54" t="s">
        <v>78</v>
      </c>
      <c r="B226" s="66" t="s">
        <v>78</v>
      </c>
      <c r="C226" s="27" t="s">
        <v>78</v>
      </c>
      <c r="D226" s="49"/>
      <c r="E226" s="27"/>
      <c r="F226" s="189"/>
      <c r="G226" s="54" t="s">
        <v>78</v>
      </c>
      <c r="H226" s="46"/>
    </row>
    <row r="227" spans="1:8" ht="12.75" customHeight="1">
      <c r="A227" s="54"/>
      <c r="C227" s="68"/>
      <c r="D227" s="188" t="s">
        <v>78</v>
      </c>
      <c r="E227" s="54" t="s">
        <v>78</v>
      </c>
      <c r="F227" s="44"/>
      <c r="G227" s="27"/>
      <c r="H227" s="46"/>
    </row>
    <row r="228" spans="1:8" ht="12.75" customHeight="1">
      <c r="A228" s="54" t="s">
        <v>78</v>
      </c>
      <c r="B228" s="66" t="s">
        <v>78</v>
      </c>
      <c r="C228" s="27" t="s">
        <v>78</v>
      </c>
      <c r="D228" s="188"/>
      <c r="E228" s="54" t="s">
        <v>78</v>
      </c>
      <c r="F228" s="44"/>
      <c r="G228" s="27"/>
      <c r="H228" s="46"/>
    </row>
    <row r="229" spans="1:8" ht="12.75" customHeight="1">
      <c r="A229" s="54"/>
      <c r="C229" s="27"/>
      <c r="D229" s="49"/>
      <c r="E229" s="189" t="s">
        <v>78</v>
      </c>
      <c r="F229" s="54" t="s">
        <v>78</v>
      </c>
      <c r="G229" s="27"/>
      <c r="H229" s="46"/>
    </row>
    <row r="230" spans="1:8" ht="12.75" customHeight="1">
      <c r="A230" s="54" t="s">
        <v>78</v>
      </c>
      <c r="B230" s="66" t="s">
        <v>78</v>
      </c>
      <c r="C230" s="27" t="s">
        <v>78</v>
      </c>
      <c r="D230" s="49"/>
      <c r="E230" s="189"/>
      <c r="F230" s="54" t="s">
        <v>78</v>
      </c>
      <c r="G230" s="27"/>
      <c r="H230" s="46"/>
    </row>
    <row r="231" spans="1:8" ht="12.75" customHeight="1">
      <c r="A231" s="54"/>
      <c r="C231" s="27"/>
      <c r="D231" s="188" t="s">
        <v>78</v>
      </c>
      <c r="E231" s="54" t="s">
        <v>78</v>
      </c>
      <c r="F231" s="44"/>
      <c r="G231" s="27"/>
      <c r="H231" s="46"/>
    </row>
    <row r="232" spans="1:8" ht="12.75" customHeight="1">
      <c r="A232" s="54" t="s">
        <v>78</v>
      </c>
      <c r="B232" s="66" t="s">
        <v>78</v>
      </c>
      <c r="C232" s="38" t="s">
        <v>78</v>
      </c>
      <c r="D232" s="188"/>
      <c r="E232" s="54" t="s">
        <v>78</v>
      </c>
      <c r="F232" s="44"/>
      <c r="G232" s="27"/>
      <c r="H232" s="46"/>
    </row>
    <row r="233" spans="1:8" ht="12.75" customHeight="1">
      <c r="A233" s="54"/>
      <c r="B233" s="27"/>
      <c r="D233" s="20"/>
      <c r="E233" s="68" t="s">
        <v>72</v>
      </c>
      <c r="F233" s="44"/>
      <c r="G233" s="258" t="s">
        <v>78</v>
      </c>
      <c r="H233" s="48" t="s">
        <v>78</v>
      </c>
    </row>
    <row r="234" spans="1:8" ht="12.75" customHeight="1">
      <c r="A234" s="54" t="s">
        <v>78</v>
      </c>
      <c r="B234" s="66" t="s">
        <v>78</v>
      </c>
      <c r="C234" s="38" t="s">
        <v>78</v>
      </c>
      <c r="D234" s="49"/>
      <c r="E234" s="68"/>
      <c r="F234" s="68"/>
      <c r="G234" s="258"/>
      <c r="H234" s="159" t="s">
        <v>78</v>
      </c>
    </row>
    <row r="235" spans="1:8" ht="12.75" customHeight="1">
      <c r="A235" s="54"/>
      <c r="B235" s="27"/>
      <c r="C235" s="68"/>
      <c r="D235" s="188" t="s">
        <v>78</v>
      </c>
      <c r="E235" s="54" t="s">
        <v>78</v>
      </c>
      <c r="F235" s="68"/>
      <c r="G235" s="40"/>
      <c r="H235" s="46"/>
    </row>
    <row r="236" spans="1:8" ht="12.75" customHeight="1">
      <c r="A236" s="54" t="s">
        <v>78</v>
      </c>
      <c r="B236" s="66" t="s">
        <v>78</v>
      </c>
      <c r="C236" s="27" t="s">
        <v>78</v>
      </c>
      <c r="D236" s="188"/>
      <c r="E236" s="54" t="s">
        <v>78</v>
      </c>
      <c r="F236" s="44"/>
      <c r="G236" s="40"/>
      <c r="H236" s="46"/>
    </row>
    <row r="237" spans="1:8" ht="12.75" customHeight="1">
      <c r="A237" s="54"/>
      <c r="B237" s="27"/>
      <c r="D237" s="20"/>
      <c r="E237" s="189" t="s">
        <v>78</v>
      </c>
      <c r="F237" s="54" t="s">
        <v>78</v>
      </c>
      <c r="G237" s="40"/>
      <c r="H237" s="46"/>
    </row>
    <row r="238" spans="1:8" ht="12.75" customHeight="1">
      <c r="A238" s="54" t="s">
        <v>78</v>
      </c>
      <c r="B238" s="66" t="s">
        <v>78</v>
      </c>
      <c r="C238" s="27" t="s">
        <v>78</v>
      </c>
      <c r="D238" s="51"/>
      <c r="E238" s="189"/>
      <c r="F238" s="54" t="s">
        <v>78</v>
      </c>
      <c r="G238" s="40"/>
      <c r="H238" s="46"/>
    </row>
    <row r="239" spans="1:8" ht="12.75" customHeight="1">
      <c r="A239" s="54"/>
      <c r="B239" s="27"/>
      <c r="C239" s="27"/>
      <c r="D239" s="188" t="s">
        <v>78</v>
      </c>
      <c r="E239" s="54" t="s">
        <v>78</v>
      </c>
      <c r="F239" s="44"/>
      <c r="G239" s="40"/>
      <c r="H239" s="46"/>
    </row>
    <row r="240" spans="1:8" ht="12.75" customHeight="1">
      <c r="A240" s="54" t="s">
        <v>78</v>
      </c>
      <c r="B240" s="66" t="s">
        <v>78</v>
      </c>
      <c r="C240" s="27" t="s">
        <v>78</v>
      </c>
      <c r="D240" s="188"/>
      <c r="E240" s="54" t="s">
        <v>78</v>
      </c>
      <c r="F240" s="44"/>
      <c r="G240" s="40"/>
      <c r="H240" s="46"/>
    </row>
    <row r="241" spans="1:8" ht="12.75" customHeight="1">
      <c r="A241" s="54"/>
      <c r="B241" s="27"/>
      <c r="C241" s="27"/>
      <c r="D241" s="51"/>
      <c r="E241" s="27"/>
      <c r="F241" s="189" t="s">
        <v>78</v>
      </c>
      <c r="G241" s="54" t="s">
        <v>78</v>
      </c>
      <c r="H241" s="46"/>
    </row>
    <row r="242" spans="1:8" ht="12.75" customHeight="1">
      <c r="A242" s="54" t="s">
        <v>78</v>
      </c>
      <c r="B242" s="66" t="s">
        <v>78</v>
      </c>
      <c r="C242" s="27" t="s">
        <v>78</v>
      </c>
      <c r="D242" s="51"/>
      <c r="E242" s="27"/>
      <c r="F242" s="189"/>
      <c r="G242" s="54" t="s">
        <v>78</v>
      </c>
      <c r="H242" s="46"/>
    </row>
    <row r="243" spans="1:8" ht="12.75" customHeight="1">
      <c r="A243" s="54"/>
      <c r="B243" s="27"/>
      <c r="C243" s="27"/>
      <c r="D243" s="188" t="s">
        <v>78</v>
      </c>
      <c r="E243" s="54" t="s">
        <v>78</v>
      </c>
      <c r="F243" s="44"/>
      <c r="G243" s="40"/>
      <c r="H243" s="46"/>
    </row>
    <row r="244" spans="1:8" ht="12.75" customHeight="1">
      <c r="A244" s="54" t="s">
        <v>78</v>
      </c>
      <c r="B244" s="66" t="s">
        <v>78</v>
      </c>
      <c r="C244" s="27" t="s">
        <v>78</v>
      </c>
      <c r="D244" s="188"/>
      <c r="E244" s="54" t="s">
        <v>78</v>
      </c>
      <c r="F244" s="44"/>
      <c r="G244" s="40"/>
      <c r="H244" s="46"/>
    </row>
    <row r="245" spans="1:8" ht="12.75" customHeight="1">
      <c r="A245" s="54"/>
      <c r="B245" s="27"/>
      <c r="C245" s="27"/>
      <c r="D245" s="51"/>
      <c r="E245" s="189" t="s">
        <v>78</v>
      </c>
      <c r="F245" s="54" t="s">
        <v>78</v>
      </c>
      <c r="G245" s="40"/>
      <c r="H245" s="46"/>
    </row>
    <row r="246" spans="1:8" ht="12.75" customHeight="1">
      <c r="A246" s="54" t="s">
        <v>78</v>
      </c>
      <c r="B246" s="66" t="s">
        <v>78</v>
      </c>
      <c r="C246" s="27" t="s">
        <v>78</v>
      </c>
      <c r="D246" s="51"/>
      <c r="E246" s="189"/>
      <c r="F246" s="54" t="s">
        <v>78</v>
      </c>
      <c r="G246" s="40"/>
      <c r="H246" s="46"/>
    </row>
    <row r="247" spans="1:8" ht="12.75" customHeight="1">
      <c r="A247" s="54"/>
      <c r="B247" s="27"/>
      <c r="C247" s="27"/>
      <c r="D247" s="188" t="s">
        <v>78</v>
      </c>
      <c r="E247" s="54" t="s">
        <v>78</v>
      </c>
      <c r="F247" s="44"/>
      <c r="G247" s="40"/>
      <c r="H247" s="38"/>
    </row>
    <row r="248" spans="1:8" ht="12.75" customHeight="1">
      <c r="A248" s="54" t="s">
        <v>78</v>
      </c>
      <c r="B248" s="66" t="s">
        <v>78</v>
      </c>
      <c r="C248" s="27" t="s">
        <v>78</v>
      </c>
      <c r="D248" s="188"/>
      <c r="E248" s="54" t="s">
        <v>78</v>
      </c>
      <c r="F248" s="44"/>
      <c r="G248" s="40"/>
      <c r="H248" s="38"/>
    </row>
    <row r="249" spans="1:8" ht="12.75" customHeight="1">
      <c r="A249" s="54"/>
      <c r="B249" s="27"/>
      <c r="C249" s="27"/>
      <c r="D249" s="51"/>
      <c r="E249" s="27"/>
      <c r="F249" s="44"/>
      <c r="G249" s="189" t="s">
        <v>78</v>
      </c>
      <c r="H249" s="40" t="s">
        <v>78</v>
      </c>
    </row>
    <row r="250" spans="1:8" ht="12.75" customHeight="1">
      <c r="A250" s="54" t="s">
        <v>78</v>
      </c>
      <c r="B250" s="66" t="s">
        <v>78</v>
      </c>
      <c r="C250" s="27" t="s">
        <v>78</v>
      </c>
      <c r="D250" s="51"/>
      <c r="E250" s="27"/>
      <c r="F250" s="44"/>
      <c r="G250" s="189"/>
      <c r="H250" s="40" t="s">
        <v>78</v>
      </c>
    </row>
    <row r="251" spans="1:8" ht="12.75" customHeight="1">
      <c r="A251" s="54"/>
      <c r="B251" s="27"/>
      <c r="C251" s="27"/>
      <c r="D251" s="188" t="s">
        <v>78</v>
      </c>
      <c r="E251" s="54" t="s">
        <v>78</v>
      </c>
      <c r="F251" s="44"/>
      <c r="G251" s="40"/>
      <c r="H251" s="38"/>
    </row>
    <row r="252" spans="1:8" ht="12.75" customHeight="1">
      <c r="A252" s="54" t="s">
        <v>78</v>
      </c>
      <c r="B252" s="66" t="s">
        <v>78</v>
      </c>
      <c r="C252" s="27" t="s">
        <v>78</v>
      </c>
      <c r="D252" s="188"/>
      <c r="E252" s="54" t="s">
        <v>78</v>
      </c>
      <c r="F252" s="44"/>
      <c r="G252" s="40"/>
      <c r="H252" s="46"/>
    </row>
    <row r="253" spans="1:8" ht="12.75" customHeight="1">
      <c r="A253" s="54"/>
      <c r="B253" s="27"/>
      <c r="C253" s="27"/>
      <c r="D253" s="51"/>
      <c r="E253" s="189" t="s">
        <v>78</v>
      </c>
      <c r="F253" s="54" t="s">
        <v>78</v>
      </c>
      <c r="G253" s="40"/>
      <c r="H253" s="46"/>
    </row>
    <row r="254" spans="1:8" ht="12.75" customHeight="1">
      <c r="A254" s="54" t="s">
        <v>78</v>
      </c>
      <c r="B254" s="66" t="s">
        <v>78</v>
      </c>
      <c r="C254" s="27" t="s">
        <v>78</v>
      </c>
      <c r="D254" s="51"/>
      <c r="E254" s="189"/>
      <c r="F254" s="54" t="s">
        <v>78</v>
      </c>
      <c r="G254" s="40"/>
      <c r="H254" s="46"/>
    </row>
    <row r="255" spans="1:8" ht="12.75" customHeight="1">
      <c r="A255" s="54"/>
      <c r="B255" s="27"/>
      <c r="C255" s="27"/>
      <c r="D255" s="188" t="s">
        <v>78</v>
      </c>
      <c r="E255" s="54" t="s">
        <v>78</v>
      </c>
      <c r="F255" s="44"/>
      <c r="G255" s="40"/>
      <c r="H255" s="46"/>
    </row>
    <row r="256" spans="1:8" ht="12.75" customHeight="1">
      <c r="A256" s="54" t="s">
        <v>78</v>
      </c>
      <c r="B256" s="66" t="s">
        <v>78</v>
      </c>
      <c r="C256" s="27" t="s">
        <v>78</v>
      </c>
      <c r="D256" s="188"/>
      <c r="E256" s="54" t="s">
        <v>78</v>
      </c>
      <c r="F256" s="44"/>
      <c r="G256" s="40"/>
      <c r="H256" s="46"/>
    </row>
    <row r="257" spans="1:8" ht="12.75" customHeight="1">
      <c r="A257" s="54"/>
      <c r="B257" s="27"/>
      <c r="C257" s="27"/>
      <c r="D257" s="51"/>
      <c r="E257" s="27"/>
      <c r="F257" s="189" t="s">
        <v>78</v>
      </c>
      <c r="G257" s="54" t="s">
        <v>78</v>
      </c>
      <c r="H257" s="46"/>
    </row>
    <row r="258" spans="1:8" ht="12.75" customHeight="1">
      <c r="A258" s="54" t="s">
        <v>78</v>
      </c>
      <c r="B258" s="66" t="s">
        <v>78</v>
      </c>
      <c r="C258" s="27" t="s">
        <v>78</v>
      </c>
      <c r="D258" s="51"/>
      <c r="E258" s="27"/>
      <c r="F258" s="189"/>
      <c r="G258" s="54" t="s">
        <v>78</v>
      </c>
      <c r="H258" s="46"/>
    </row>
    <row r="259" spans="1:8" ht="12.75" customHeight="1">
      <c r="A259" s="54"/>
      <c r="B259" s="27"/>
      <c r="C259" s="27"/>
      <c r="D259" s="188" t="s">
        <v>78</v>
      </c>
      <c r="E259" s="54" t="s">
        <v>78</v>
      </c>
      <c r="F259" s="44"/>
      <c r="G259" s="40"/>
      <c r="H259" s="46"/>
    </row>
    <row r="260" spans="1:8" ht="12.75" customHeight="1">
      <c r="A260" s="54" t="s">
        <v>78</v>
      </c>
      <c r="B260" s="66" t="s">
        <v>78</v>
      </c>
      <c r="C260" s="27" t="s">
        <v>78</v>
      </c>
      <c r="D260" s="188"/>
      <c r="E260" s="54" t="s">
        <v>78</v>
      </c>
      <c r="F260" s="44"/>
      <c r="G260" s="40"/>
      <c r="H260" s="46"/>
    </row>
    <row r="261" spans="1:8" ht="12.75" customHeight="1">
      <c r="A261" s="54"/>
      <c r="B261" s="27"/>
      <c r="C261" s="27"/>
      <c r="D261" s="51"/>
      <c r="E261" s="189" t="s">
        <v>78</v>
      </c>
      <c r="F261" s="54" t="s">
        <v>78</v>
      </c>
      <c r="G261" s="40"/>
      <c r="H261" s="46"/>
    </row>
    <row r="262" spans="1:8" ht="12.75" customHeight="1">
      <c r="A262" s="54" t="s">
        <v>78</v>
      </c>
      <c r="B262" s="66" t="s">
        <v>78</v>
      </c>
      <c r="C262" s="27" t="s">
        <v>78</v>
      </c>
      <c r="D262" s="51"/>
      <c r="E262" s="189"/>
      <c r="F262" s="54" t="s">
        <v>78</v>
      </c>
      <c r="G262" s="40"/>
      <c r="H262" s="46"/>
    </row>
    <row r="263" spans="1:8" ht="12.75" customHeight="1">
      <c r="A263" s="54"/>
      <c r="B263" s="27"/>
      <c r="C263" s="27"/>
      <c r="D263" s="188" t="s">
        <v>78</v>
      </c>
      <c r="E263" s="54" t="s">
        <v>78</v>
      </c>
      <c r="F263" s="44"/>
      <c r="G263" s="40"/>
      <c r="H263" s="46"/>
    </row>
    <row r="264" spans="1:8" ht="12.75" customHeight="1">
      <c r="A264" s="54" t="s">
        <v>78</v>
      </c>
      <c r="B264" s="66" t="s">
        <v>78</v>
      </c>
      <c r="C264" s="38" t="s">
        <v>78</v>
      </c>
      <c r="D264" s="188"/>
      <c r="E264" s="54" t="s">
        <v>78</v>
      </c>
      <c r="F264" s="44"/>
      <c r="G264" s="40"/>
      <c r="H264" s="46"/>
    </row>
    <row r="265" spans="1:8" ht="25.5">
      <c r="A265" s="257" t="s">
        <v>78</v>
      </c>
      <c r="B265" s="257"/>
      <c r="C265" s="257"/>
      <c r="D265" s="257"/>
      <c r="E265" s="257"/>
      <c r="F265" s="257"/>
      <c r="G265" s="257"/>
      <c r="H265" s="257"/>
    </row>
    <row r="266" spans="1:8" ht="18.75">
      <c r="A266" s="244" t="s">
        <v>78</v>
      </c>
      <c r="B266" s="244"/>
      <c r="C266" s="244"/>
      <c r="D266" s="244"/>
      <c r="E266" s="244"/>
      <c r="F266" s="244"/>
      <c r="G266" s="244"/>
      <c r="H266" s="244"/>
    </row>
    <row r="267" spans="3:8" ht="15.75">
      <c r="C267" s="22"/>
      <c r="D267" s="24"/>
      <c r="H267" s="61" t="s">
        <v>78</v>
      </c>
    </row>
    <row r="268" ht="15.75">
      <c r="H268" s="158" t="s">
        <v>78</v>
      </c>
    </row>
    <row r="269" spans="3:8" ht="12.75">
      <c r="C269" s="68"/>
      <c r="D269" s="27"/>
      <c r="E269" s="68"/>
      <c r="F269" s="68"/>
      <c r="G269" s="68"/>
      <c r="H269" s="46"/>
    </row>
    <row r="270" spans="1:8" ht="15.75">
      <c r="A270" s="271" t="s">
        <v>78</v>
      </c>
      <c r="B270" s="271"/>
      <c r="C270" s="165" t="s">
        <v>78</v>
      </c>
      <c r="D270" s="27"/>
      <c r="E270" s="68"/>
      <c r="F270" s="68"/>
      <c r="G270" s="68"/>
      <c r="H270" s="46"/>
    </row>
    <row r="271" spans="3:8" ht="12.75">
      <c r="C271" s="68"/>
      <c r="D271" s="27"/>
      <c r="E271" s="68"/>
      <c r="F271" s="68"/>
      <c r="G271" s="68"/>
      <c r="H271" s="46"/>
    </row>
    <row r="272" spans="3:8" ht="12.75">
      <c r="C272" s="68"/>
      <c r="D272" s="27"/>
      <c r="E272" s="68"/>
      <c r="F272" s="68"/>
      <c r="G272" s="68"/>
      <c r="H272" s="46"/>
    </row>
    <row r="273" spans="3:8" ht="12.75">
      <c r="C273" s="68"/>
      <c r="D273" s="27"/>
      <c r="E273" s="68"/>
      <c r="F273" s="68"/>
      <c r="G273" s="68"/>
      <c r="H273" s="46"/>
    </row>
    <row r="274" spans="3:8" ht="12.75">
      <c r="C274" s="68"/>
      <c r="D274" s="27"/>
      <c r="E274" s="68"/>
      <c r="F274" s="68"/>
      <c r="G274" s="68"/>
      <c r="H274" s="46"/>
    </row>
    <row r="275" spans="3:8" ht="12.75">
      <c r="C275" s="68"/>
      <c r="D275" s="27"/>
      <c r="E275" s="68"/>
      <c r="F275" s="68"/>
      <c r="G275" s="68"/>
      <c r="H275" s="46"/>
    </row>
    <row r="276" spans="3:8" ht="15.75">
      <c r="C276" s="68"/>
      <c r="D276" s="166" t="s">
        <v>78</v>
      </c>
      <c r="E276" s="270" t="s">
        <v>78</v>
      </c>
      <c r="F276" s="270"/>
      <c r="G276" s="68"/>
      <c r="H276" s="46"/>
    </row>
    <row r="277" spans="3:8" ht="15.75">
      <c r="C277" s="68"/>
      <c r="D277" s="166"/>
      <c r="E277" s="270" t="s">
        <v>78</v>
      </c>
      <c r="F277" s="270"/>
      <c r="G277" s="68"/>
      <c r="H277" s="46"/>
    </row>
    <row r="278" spans="3:8" ht="12.75">
      <c r="C278" s="68"/>
      <c r="D278" s="27"/>
      <c r="E278" s="68"/>
      <c r="F278" s="68"/>
      <c r="G278" s="68"/>
      <c r="H278" s="46"/>
    </row>
    <row r="279" spans="3:8" ht="12.75">
      <c r="C279" s="68"/>
      <c r="D279" s="27"/>
      <c r="E279" s="68"/>
      <c r="F279" s="68"/>
      <c r="G279" s="68"/>
      <c r="H279" s="46"/>
    </row>
    <row r="280" spans="3:8" ht="12.75">
      <c r="C280" s="68"/>
      <c r="D280" s="27"/>
      <c r="E280" s="68"/>
      <c r="F280" s="68"/>
      <c r="G280" s="68"/>
      <c r="H280" s="46"/>
    </row>
    <row r="281" spans="3:8" ht="12.75">
      <c r="C281" s="68"/>
      <c r="D281" s="27"/>
      <c r="E281" s="68"/>
      <c r="F281" s="68"/>
      <c r="G281" s="68"/>
      <c r="H281" s="46"/>
    </row>
    <row r="282" spans="1:8" ht="15.75">
      <c r="A282" s="271" t="s">
        <v>78</v>
      </c>
      <c r="B282" s="271"/>
      <c r="C282" s="165" t="s">
        <v>78</v>
      </c>
      <c r="D282" s="27"/>
      <c r="E282" s="68"/>
      <c r="F282" s="68"/>
      <c r="G282" s="68"/>
      <c r="H282" s="46"/>
    </row>
    <row r="283" spans="3:8" ht="12.75">
      <c r="C283" s="68"/>
      <c r="D283" s="27"/>
      <c r="E283" s="68"/>
      <c r="F283" s="68"/>
      <c r="G283" s="68"/>
      <c r="H283" s="46"/>
    </row>
    <row r="284" spans="3:8" ht="12.75">
      <c r="C284" s="68"/>
      <c r="D284" s="27"/>
      <c r="E284" s="68"/>
      <c r="F284" s="68"/>
      <c r="G284" s="68"/>
      <c r="H284" s="46"/>
    </row>
    <row r="285" spans="3:8" ht="12.75">
      <c r="C285" s="68"/>
      <c r="D285" s="27"/>
      <c r="E285" s="68"/>
      <c r="F285" s="68"/>
      <c r="G285" s="68"/>
      <c r="H285" s="46"/>
    </row>
    <row r="286" spans="3:8" ht="12.75">
      <c r="C286" s="68"/>
      <c r="D286" s="27"/>
      <c r="E286" s="68"/>
      <c r="F286" s="68"/>
      <c r="G286" s="68"/>
      <c r="H286" s="46"/>
    </row>
    <row r="287" spans="3:8" ht="12.75">
      <c r="C287" s="68"/>
      <c r="D287" s="27"/>
      <c r="E287" s="68"/>
      <c r="F287" s="68"/>
      <c r="G287" s="68"/>
      <c r="H287" s="46"/>
    </row>
    <row r="288" spans="3:8" ht="15.75">
      <c r="C288" s="68"/>
      <c r="D288" s="27"/>
      <c r="E288" s="68"/>
      <c r="F288" s="258" t="s">
        <v>78</v>
      </c>
      <c r="G288" s="270" t="s">
        <v>78</v>
      </c>
      <c r="H288" s="270"/>
    </row>
    <row r="289" spans="3:8" ht="15.75" customHeight="1">
      <c r="C289" s="68"/>
      <c r="D289" s="27"/>
      <c r="E289" s="68"/>
      <c r="F289" s="258"/>
      <c r="G289" s="272" t="s">
        <v>78</v>
      </c>
      <c r="H289" s="272"/>
    </row>
    <row r="290" spans="3:8" ht="12.75">
      <c r="C290" s="68"/>
      <c r="D290" s="27"/>
      <c r="E290" s="68"/>
      <c r="F290" s="68"/>
      <c r="G290" s="68"/>
      <c r="H290" s="46"/>
    </row>
    <row r="291" spans="3:8" ht="12.75">
      <c r="C291" s="68"/>
      <c r="D291" s="27"/>
      <c r="E291" s="68"/>
      <c r="F291" s="68"/>
      <c r="G291" s="68"/>
      <c r="H291" s="46"/>
    </row>
    <row r="292" spans="3:8" ht="12.75">
      <c r="C292" s="68"/>
      <c r="D292" s="27"/>
      <c r="E292" s="68"/>
      <c r="F292" s="68"/>
      <c r="G292" s="68"/>
      <c r="H292" s="46"/>
    </row>
    <row r="293" spans="3:8" ht="12.75">
      <c r="C293" s="68"/>
      <c r="D293" s="27"/>
      <c r="E293" s="68"/>
      <c r="F293" s="68"/>
      <c r="G293" s="68"/>
      <c r="H293" s="46"/>
    </row>
    <row r="294" spans="1:8" ht="15.75">
      <c r="A294" s="271" t="s">
        <v>78</v>
      </c>
      <c r="B294" s="271"/>
      <c r="C294" s="165" t="s">
        <v>78</v>
      </c>
      <c r="D294" s="27"/>
      <c r="E294" s="68"/>
      <c r="F294" s="68"/>
      <c r="G294" s="68"/>
      <c r="H294" s="46"/>
    </row>
    <row r="295" spans="3:8" ht="15.75">
      <c r="C295" s="167"/>
      <c r="D295" s="27"/>
      <c r="E295" s="68"/>
      <c r="F295" s="68"/>
      <c r="G295" s="68"/>
      <c r="H295" s="46"/>
    </row>
    <row r="296" spans="3:8" ht="12.75">
      <c r="C296" s="68"/>
      <c r="D296" s="27"/>
      <c r="E296" s="68"/>
      <c r="F296" s="68"/>
      <c r="G296" s="68"/>
      <c r="H296" s="46"/>
    </row>
    <row r="297" spans="3:8" ht="12.75">
      <c r="C297" s="68"/>
      <c r="D297" s="27"/>
      <c r="E297" s="68"/>
      <c r="F297" s="68"/>
      <c r="G297" s="68"/>
      <c r="H297" s="46"/>
    </row>
    <row r="298" spans="3:8" ht="12.75">
      <c r="C298" s="68"/>
      <c r="D298" s="27"/>
      <c r="E298" s="68"/>
      <c r="F298" s="68"/>
      <c r="G298" s="68"/>
      <c r="H298" s="46"/>
    </row>
    <row r="299" spans="3:8" ht="12.75">
      <c r="C299" s="68"/>
      <c r="D299" s="27"/>
      <c r="E299" s="68"/>
      <c r="F299" s="68"/>
      <c r="G299" s="68"/>
      <c r="H299" s="46"/>
    </row>
    <row r="300" spans="3:8" ht="15.75">
      <c r="C300" s="68"/>
      <c r="D300" s="166" t="s">
        <v>78</v>
      </c>
      <c r="E300" s="270" t="s">
        <v>78</v>
      </c>
      <c r="F300" s="270"/>
      <c r="G300" s="68"/>
      <c r="H300" s="46"/>
    </row>
    <row r="301" spans="3:8" ht="15.75">
      <c r="C301" s="68"/>
      <c r="D301" s="166"/>
      <c r="E301" s="270" t="s">
        <v>78</v>
      </c>
      <c r="F301" s="270"/>
      <c r="G301" s="68"/>
      <c r="H301" s="46"/>
    </row>
    <row r="302" spans="3:8" ht="12.75">
      <c r="C302" s="68"/>
      <c r="D302" s="27"/>
      <c r="E302" s="68"/>
      <c r="F302" s="68"/>
      <c r="G302" s="68"/>
      <c r="H302" s="46"/>
    </row>
    <row r="303" spans="3:8" ht="12.75">
      <c r="C303" s="68"/>
      <c r="D303" s="27"/>
      <c r="E303" s="68"/>
      <c r="F303" s="68"/>
      <c r="G303" s="68"/>
      <c r="H303" s="46"/>
    </row>
    <row r="304" spans="3:8" ht="12.75">
      <c r="C304" s="68"/>
      <c r="D304" s="27"/>
      <c r="E304" s="68"/>
      <c r="F304" s="68"/>
      <c r="G304" s="68"/>
      <c r="H304" s="46"/>
    </row>
    <row r="305" spans="3:8" ht="12.75">
      <c r="C305" s="68"/>
      <c r="D305" s="27"/>
      <c r="E305" s="68"/>
      <c r="F305" s="68"/>
      <c r="G305" s="68"/>
      <c r="H305" s="46"/>
    </row>
    <row r="306" spans="1:8" ht="15.75">
      <c r="A306" s="271" t="s">
        <v>78</v>
      </c>
      <c r="B306" s="271"/>
      <c r="C306" s="165" t="s">
        <v>78</v>
      </c>
      <c r="D306" s="27"/>
      <c r="E306" s="68"/>
      <c r="F306" s="68"/>
      <c r="G306" s="68"/>
      <c r="H306" s="46"/>
    </row>
    <row r="307" spans="3:8" ht="12.75">
      <c r="C307" s="68"/>
      <c r="D307" s="27"/>
      <c r="E307" s="68"/>
      <c r="F307" s="68"/>
      <c r="G307" s="68"/>
      <c r="H307" s="46"/>
    </row>
    <row r="308" spans="3:8" ht="12.75">
      <c r="C308" s="68"/>
      <c r="D308" s="27"/>
      <c r="E308" s="68"/>
      <c r="F308" s="68"/>
      <c r="G308" s="68"/>
      <c r="H308" s="46"/>
    </row>
    <row r="309" spans="3:8" ht="12.75">
      <c r="C309" s="68"/>
      <c r="D309" s="27"/>
      <c r="E309" s="68"/>
      <c r="F309" s="68"/>
      <c r="G309" s="68"/>
      <c r="H309" s="46"/>
    </row>
    <row r="310" spans="3:8" ht="12.75">
      <c r="C310" s="68"/>
      <c r="D310" s="27"/>
      <c r="E310" s="68"/>
      <c r="F310" s="68"/>
      <c r="G310" s="68"/>
      <c r="H310" s="46"/>
    </row>
    <row r="311" spans="3:8" ht="12.75">
      <c r="C311" s="68"/>
      <c r="D311" s="27"/>
      <c r="E311" s="68"/>
      <c r="F311" s="68"/>
      <c r="G311" s="68"/>
      <c r="H311" s="46"/>
    </row>
  </sheetData>
  <sheetProtection sheet="1" formatCells="0" formatColumns="0" formatRows="0" insertColumns="0" insertRows="0" deleteColumns="0" deleteRows="0" sort="0" autoFilter="0" pivotTables="0"/>
  <mergeCells count="154">
    <mergeCell ref="G288:H288"/>
    <mergeCell ref="G289:H289"/>
    <mergeCell ref="A294:B294"/>
    <mergeCell ref="E300:F300"/>
    <mergeCell ref="D263:D264"/>
    <mergeCell ref="A265:H265"/>
    <mergeCell ref="A266:H266"/>
    <mergeCell ref="A270:B270"/>
    <mergeCell ref="E276:F276"/>
    <mergeCell ref="E277:F277"/>
    <mergeCell ref="E245:E246"/>
    <mergeCell ref="D247:D248"/>
    <mergeCell ref="E301:F301"/>
    <mergeCell ref="A306:B306"/>
    <mergeCell ref="A282:B282"/>
    <mergeCell ref="F288:F289"/>
    <mergeCell ref="D251:D252"/>
    <mergeCell ref="E253:E254"/>
    <mergeCell ref="D255:D256"/>
    <mergeCell ref="F257:F258"/>
    <mergeCell ref="D259:D260"/>
    <mergeCell ref="E261:E262"/>
    <mergeCell ref="D215:D216"/>
    <mergeCell ref="G217:G218"/>
    <mergeCell ref="D219:D220"/>
    <mergeCell ref="E221:E222"/>
    <mergeCell ref="D223:D224"/>
    <mergeCell ref="F225:F226"/>
    <mergeCell ref="G249:G250"/>
    <mergeCell ref="D227:D228"/>
    <mergeCell ref="E229:E230"/>
    <mergeCell ref="D231:D232"/>
    <mergeCell ref="G233:G234"/>
    <mergeCell ref="D235:D236"/>
    <mergeCell ref="E237:E238"/>
    <mergeCell ref="D239:D240"/>
    <mergeCell ref="F241:F242"/>
    <mergeCell ref="D243:D244"/>
    <mergeCell ref="F191:F192"/>
    <mergeCell ref="D193:D194"/>
    <mergeCell ref="E195:E196"/>
    <mergeCell ref="D197:D198"/>
    <mergeCell ref="A199:H199"/>
    <mergeCell ref="A200:H200"/>
    <mergeCell ref="D203:D204"/>
    <mergeCell ref="E205:E206"/>
    <mergeCell ref="D207:D208"/>
    <mergeCell ref="F209:F210"/>
    <mergeCell ref="D211:D212"/>
    <mergeCell ref="E213:E214"/>
    <mergeCell ref="G167:G168"/>
    <mergeCell ref="D169:D170"/>
    <mergeCell ref="E171:E172"/>
    <mergeCell ref="D173:D174"/>
    <mergeCell ref="F175:F176"/>
    <mergeCell ref="D177:D178"/>
    <mergeCell ref="E179:E180"/>
    <mergeCell ref="D181:D182"/>
    <mergeCell ref="G183:G184"/>
    <mergeCell ref="D185:D186"/>
    <mergeCell ref="E187:E188"/>
    <mergeCell ref="D189:D190"/>
    <mergeCell ref="D157:D158"/>
    <mergeCell ref="F159:F160"/>
    <mergeCell ref="D161:D162"/>
    <mergeCell ref="E163:E164"/>
    <mergeCell ref="D165:D166"/>
    <mergeCell ref="D149:D150"/>
    <mergeCell ref="D151:D152"/>
    <mergeCell ref="E151:F151"/>
    <mergeCell ref="N144:O144"/>
    <mergeCell ref="D145:D146"/>
    <mergeCell ref="N145:O145"/>
    <mergeCell ref="K146:K147"/>
    <mergeCell ref="E147:E148"/>
    <mergeCell ref="E155:E156"/>
    <mergeCell ref="G151:G152"/>
    <mergeCell ref="E152:F152"/>
    <mergeCell ref="D153:D154"/>
    <mergeCell ref="K142:K143"/>
    <mergeCell ref="F143:F144"/>
    <mergeCell ref="M144:M145"/>
    <mergeCell ref="D119:D120"/>
    <mergeCell ref="E121:E122"/>
    <mergeCell ref="D123:D124"/>
    <mergeCell ref="F125:F126"/>
    <mergeCell ref="D127:D128"/>
    <mergeCell ref="E129:E130"/>
    <mergeCell ref="D131:D132"/>
    <mergeCell ref="A133:H133"/>
    <mergeCell ref="A134:H134"/>
    <mergeCell ref="D137:D138"/>
    <mergeCell ref="E139:E140"/>
    <mergeCell ref="D141:D142"/>
    <mergeCell ref="D95:D96"/>
    <mergeCell ref="E97:E98"/>
    <mergeCell ref="D99:D100"/>
    <mergeCell ref="G101:G102"/>
    <mergeCell ref="D103:D104"/>
    <mergeCell ref="E105:E106"/>
    <mergeCell ref="D107:D108"/>
    <mergeCell ref="F109:F110"/>
    <mergeCell ref="D111:D112"/>
    <mergeCell ref="E113:E114"/>
    <mergeCell ref="D115:D116"/>
    <mergeCell ref="G117:G118"/>
    <mergeCell ref="D71:D72"/>
    <mergeCell ref="E73:E74"/>
    <mergeCell ref="D75:D76"/>
    <mergeCell ref="F77:F78"/>
    <mergeCell ref="D79:D80"/>
    <mergeCell ref="E81:E82"/>
    <mergeCell ref="D83:D84"/>
    <mergeCell ref="G85:G86"/>
    <mergeCell ref="D87:D88"/>
    <mergeCell ref="E89:E90"/>
    <mergeCell ref="D91:D92"/>
    <mergeCell ref="F93:F94"/>
    <mergeCell ref="E47:E48"/>
    <mergeCell ref="D49:D50"/>
    <mergeCell ref="G51:G52"/>
    <mergeCell ref="D53:D54"/>
    <mergeCell ref="E55:E56"/>
    <mergeCell ref="D57:D58"/>
    <mergeCell ref="F59:F60"/>
    <mergeCell ref="D61:D62"/>
    <mergeCell ref="E63:E64"/>
    <mergeCell ref="D65:D66"/>
    <mergeCell ref="A67:H67"/>
    <mergeCell ref="A68:H68"/>
    <mergeCell ref="E23:E24"/>
    <mergeCell ref="D25:D26"/>
    <mergeCell ref="F27:F28"/>
    <mergeCell ref="D29:D30"/>
    <mergeCell ref="E31:E32"/>
    <mergeCell ref="D33:D34"/>
    <mergeCell ref="G35:G36"/>
    <mergeCell ref="D37:D38"/>
    <mergeCell ref="E39:E40"/>
    <mergeCell ref="D41:D42"/>
    <mergeCell ref="F43:F44"/>
    <mergeCell ref="D45:D46"/>
    <mergeCell ref="A1:H1"/>
    <mergeCell ref="A2:H2"/>
    <mergeCell ref="G3:H3"/>
    <mergeCell ref="D5:D6"/>
    <mergeCell ref="E7:E8"/>
    <mergeCell ref="D9:D10"/>
    <mergeCell ref="F11:F12"/>
    <mergeCell ref="D13:D14"/>
    <mergeCell ref="E15:E16"/>
    <mergeCell ref="D17:D18"/>
    <mergeCell ref="G19:G20"/>
    <mergeCell ref="D21:D22"/>
  </mergeCells>
  <conditionalFormatting sqref="G11">
    <cfRule type="expression" priority="27" dxfId="892" stopIfTrue="1">
      <formula>$F$11=63</formula>
    </cfRule>
    <cfRule type="expression" priority="28" dxfId="892" stopIfTrue="1">
      <formula>$F$11=95</formula>
    </cfRule>
  </conditionalFormatting>
  <conditionalFormatting sqref="H19">
    <cfRule type="expression" priority="7" dxfId="912" stopIfTrue="1">
      <formula>$G$19=95</formula>
    </cfRule>
    <cfRule type="expression" priority="29" dxfId="892" stopIfTrue="1">
      <formula>$G$19=127</formula>
    </cfRule>
    <cfRule type="expression" priority="30" dxfId="892" stopIfTrue="1">
      <formula>$G$19=87</formula>
    </cfRule>
    <cfRule type="expression" priority="31" dxfId="892" stopIfTrue="1">
      <formula>$G$19=119</formula>
    </cfRule>
  </conditionalFormatting>
  <conditionalFormatting sqref="B20 B22 B24 B26 B28 B30 B32 B34">
    <cfRule type="expression" priority="32" dxfId="333" stopIfTrue="1">
      <formula>$A$20=9</formula>
    </cfRule>
  </conditionalFormatting>
  <conditionalFormatting sqref="C20:D20 C22 C26 C34 C30 C32:D32 C28:D28 C24:D24 E21 F23">
    <cfRule type="expression" priority="33" dxfId="888" stopIfTrue="1">
      <formula>$A$20=9</formula>
    </cfRule>
  </conditionalFormatting>
  <conditionalFormatting sqref="D21:D22 D25:D26 G27 D29:D30 E25 E33 D33:D34 F31">
    <cfRule type="expression" priority="34" dxfId="889" stopIfTrue="1">
      <formula>$A$20=9</formula>
    </cfRule>
  </conditionalFormatting>
  <conditionalFormatting sqref="E22:E24 E30:E32 F24:F30 G21:G26 G12:G18">
    <cfRule type="expression" priority="35" dxfId="886" stopIfTrue="1">
      <formula>$A$20=9</formula>
    </cfRule>
  </conditionalFormatting>
  <conditionalFormatting sqref="E29">
    <cfRule type="expression" priority="36" dxfId="913" stopIfTrue="1">
      <formula>$A$20=9</formula>
    </cfRule>
  </conditionalFormatting>
  <conditionalFormatting sqref="B36 B38 B40 B42 B44 B46 B48 B50 B52 B54 B56 B58 B60 B62 B64 B66">
    <cfRule type="expression" priority="37" dxfId="333" stopIfTrue="1">
      <formula>$A$36=17</formula>
    </cfRule>
  </conditionalFormatting>
  <conditionalFormatting sqref="C38 C42 C46 C50 C54 C58 C62 C66 C36:D36 C40:D40 C44:D44 C48:D48 C52:D52 C56:D56 C60:D60 C64:D64 E37 E45 E53 E61">
    <cfRule type="expression" priority="38" dxfId="888" stopIfTrue="1">
      <formula>$A$36=17</formula>
    </cfRule>
  </conditionalFormatting>
  <conditionalFormatting sqref="D37:D38 H51 G59 E65 E57 E49 E41 F63 F47">
    <cfRule type="expression" priority="39" dxfId="889" stopIfTrue="1">
      <formula>$A$36=17</formula>
    </cfRule>
  </conditionalFormatting>
  <conditionalFormatting sqref="E38:E40 H37:H50 E46 E54 F40:F46 F56:F62 G44:G58 H21:H34 E62">
    <cfRule type="expression" priority="40" dxfId="886" stopIfTrue="1">
      <formula>$A$36=17</formula>
    </cfRule>
  </conditionalFormatting>
  <conditionalFormatting sqref="H20 H36">
    <cfRule type="expression" priority="41" dxfId="914" stopIfTrue="1">
      <formula>$A$36=17</formula>
    </cfRule>
  </conditionalFormatting>
  <conditionalFormatting sqref="I35">
    <cfRule type="expression" priority="42" dxfId="884" stopIfTrue="1">
      <formula>$A$36=17</formula>
    </cfRule>
  </conditionalFormatting>
  <conditionalFormatting sqref="B70 B72 B74 B76 B78 B80 B82 B84 B86 B88 B90 B92 B94 B96 B98 B100 B102 B132 B106 B112 B104 B116 B118 B120 B114 B124 B126 B128 B130 B122 B108 B110">
    <cfRule type="expression" priority="43" dxfId="33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44" dxfId="888" stopIfTrue="1">
      <formula>$A$70=33</formula>
    </cfRule>
  </conditionalFormatting>
  <conditionalFormatting sqref="E72:E74 H102:H116 E80 E88 E96 E104 E112 E120 F111:F112 G110:G124 F95:F96 E128 G78:G92 F127:F128 H86:H100 F90:F92 F106:F108 F122:F124 F74:F76 F79:F80">
    <cfRule type="expression" priority="45" dxfId="886" stopIfTrue="1">
      <formula>$A$70=33</formula>
    </cfRule>
  </conditionalFormatting>
  <conditionalFormatting sqref="E75 H117 H101 G93 F97 G125 F113 F81 F129 E131 E123 E115 E107 E99 E91 E83">
    <cfRule type="expression" priority="46" dxfId="889" stopIfTrue="1">
      <formula>$A$70=33</formula>
    </cfRule>
  </conditionalFormatting>
  <conditionalFormatting sqref="F121">
    <cfRule type="expression" priority="47" dxfId="913"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8" dxfId="33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9" dxfId="915" stopIfTrue="1">
      <formula>$A$136=65</formula>
    </cfRule>
  </conditionalFormatting>
  <conditionalFormatting sqref="D137:D138 H183 H167 D141:D142 D145:D146 D157:D158 D161:D162 D165:D166 D169:D170 D173:D174 D177:D178 D181:D182 D185:D186 D189:D190 D193:D194 D197:D198">
    <cfRule type="expression" priority="50" dxfId="889" stopIfTrue="1">
      <formula>$A$136=65</formula>
    </cfRule>
  </conditionalFormatting>
  <conditionalFormatting sqref="E141 E149 F147 E157 G159 E165 F163 E173 G191 F179 E181 E189 E197 F195">
    <cfRule type="expression" priority="51" dxfId="916" stopIfTrue="1">
      <formula>$A$136=65</formula>
    </cfRule>
  </conditionalFormatting>
  <conditionalFormatting sqref="E138:E140 E146:E148 E154:E156 E162:E164 E170:E172 E178:E180 E186:E188 E194:E196 F140:F146 G144:G158 F156:F162 F172:F178 G176:G190 F188:F194 H153:H166 H168:H182">
    <cfRule type="expression" priority="52" dxfId="886" stopIfTrue="1">
      <formula>$A$136=65</formula>
    </cfRule>
  </conditionalFormatting>
  <conditionalFormatting sqref="G175">
    <cfRule type="expression" priority="53" dxfId="931" stopIfTrue="1">
      <formula>$A$136=65</formula>
    </cfRule>
  </conditionalFormatting>
  <conditionalFormatting sqref="H152">
    <cfRule type="expression" priority="54" dxfId="91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55" dxfId="33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56" dxfId="888" stopIfTrue="1">
      <formula>$A$202=97</formula>
    </cfRule>
  </conditionalFormatting>
  <conditionalFormatting sqref="D203:D204 E207 F213 E215 E223 G225 F229 E231 E239 F245 E247 E255 G257 F261 E263 H249 H233 D207:D208 D211:D212 D215:D216 D219:D220 D223:D224 D227:D228 D231:D232 D235:D236 D239:D240 D243:D244 D247:D248 D251:D252 D255:D256 D259:D260 D263:D264">
    <cfRule type="expression" priority="57" dxfId="889" stopIfTrue="1">
      <formula>$A$202=97</formula>
    </cfRule>
  </conditionalFormatting>
  <conditionalFormatting sqref="H234:H248 F206:F212 G210:G224 F222:F228 F238:F244 G242:G256 F254:F260 H218:H232 E204:E206 E212:E214 E220:E222 E228:E230 E244:E246 E252:E254 E260:E262 E236:E238">
    <cfRule type="expression" priority="58" dxfId="886" stopIfTrue="1">
      <formula>$A$202=97</formula>
    </cfRule>
  </conditionalFormatting>
  <conditionalFormatting sqref="A199:H199 A265:H265">
    <cfRule type="expression" priority="59" dxfId="11" stopIfTrue="1">
      <formula>$A$202=97</formula>
    </cfRule>
  </conditionalFormatting>
  <conditionalFormatting sqref="A67:H67">
    <cfRule type="expression" priority="60" dxfId="11" stopIfTrue="1">
      <formula>$A$70=33</formula>
    </cfRule>
  </conditionalFormatting>
  <conditionalFormatting sqref="D147 B147 B155">
    <cfRule type="expression" priority="61" dxfId="888" stopIfTrue="1">
      <formula>$A$149=1</formula>
    </cfRule>
  </conditionalFormatting>
  <conditionalFormatting sqref="D155">
    <cfRule type="expression" priority="62" dxfId="889" stopIfTrue="1">
      <formula>$A$149=1</formula>
    </cfRule>
  </conditionalFormatting>
  <conditionalFormatting sqref="E151:F151">
    <cfRule type="expression" priority="63" dxfId="892" stopIfTrue="1">
      <formula>$A$149=1</formula>
    </cfRule>
  </conditionalFormatting>
  <conditionalFormatting sqref="D149:D150 D153:D154">
    <cfRule type="expression" priority="64" dxfId="886" stopIfTrue="1">
      <formula>$A$149=1</formula>
    </cfRule>
    <cfRule type="expression" priority="65" dxfId="889" stopIfTrue="1">
      <formula>$A$136=65</formula>
    </cfRule>
  </conditionalFormatting>
  <conditionalFormatting sqref="D151:D152 D148">
    <cfRule type="expression" priority="66" dxfId="886" stopIfTrue="1">
      <formula>$A$149=1</formula>
    </cfRule>
    <cfRule type="expression" priority="67" dxfId="888" stopIfTrue="1">
      <formula>$A$136=65</formula>
    </cfRule>
  </conditionalFormatting>
  <conditionalFormatting sqref="A133:H133">
    <cfRule type="expression" priority="68" dxfId="11" stopIfTrue="1">
      <formula>$A$136=65</formula>
    </cfRule>
    <cfRule type="expression" priority="69" dxfId="11" stopIfTrue="1">
      <formula>$A$132=64</formula>
    </cfRule>
  </conditionalFormatting>
  <conditionalFormatting sqref="D282 D306">
    <cfRule type="expression" priority="70" dxfId="889" stopIfTrue="1">
      <formula>IF(A270="",0,1)=1</formula>
    </cfRule>
  </conditionalFormatting>
  <conditionalFormatting sqref="G288:H288">
    <cfRule type="expression" priority="71" dxfId="892" stopIfTrue="1">
      <formula>$A$270=273</formula>
    </cfRule>
    <cfRule type="expression" priority="72" dxfId="892" stopIfTrue="1">
      <formula>$A$270=297</formula>
    </cfRule>
  </conditionalFormatting>
  <conditionalFormatting sqref="C155">
    <cfRule type="expression" priority="73" dxfId="917" stopIfTrue="1">
      <formula>$A$149=1</formula>
    </cfRule>
  </conditionalFormatting>
  <conditionalFormatting sqref="C270 C282 C294 C306">
    <cfRule type="expression" priority="74" dxfId="917" stopIfTrue="1">
      <formula>IF(A270="",0,1)=1</formula>
    </cfRule>
  </conditionalFormatting>
  <conditionalFormatting sqref="C147">
    <cfRule type="expression" priority="75" dxfId="917" stopIfTrue="1">
      <formula>$A$149=1</formula>
    </cfRule>
  </conditionalFormatting>
  <conditionalFormatting sqref="H35">
    <cfRule type="expression" priority="76" dxfId="918" stopIfTrue="1">
      <formula>$G$35=111</formula>
    </cfRule>
    <cfRule type="expression" priority="77" dxfId="892" stopIfTrue="1">
      <formula>$G$35=143</formula>
    </cfRule>
    <cfRule type="expression" priority="78" dxfId="892" stopIfTrue="1">
      <formula>$G$35=175</formula>
    </cfRule>
  </conditionalFormatting>
  <conditionalFormatting sqref="D41:D42 D45:D46 D49:D50 D53:D54 D57:D58 D61:D62 D65:D66">
    <cfRule type="expression" priority="79" dxfId="889" stopIfTrue="1">
      <formula>$A$36=17</formula>
    </cfRule>
  </conditionalFormatting>
  <conditionalFormatting sqref="E47:E48 E55:E56 E63:E64">
    <cfRule type="expression" priority="80" dxfId="886" stopIfTrue="1">
      <formula>$A$36=17</formula>
    </cfRule>
  </conditionalFormatting>
  <conditionalFormatting sqref="D71:D72 D75:D76 D79:D80 D83:D84 D87:D88 D91:D92 D95:D96 D99:D100 D103:D104 D107:D108 D111:D112 D115:D116 D119:D120 D123:D124 D127:D128 D131:D132">
    <cfRule type="expression" priority="81" dxfId="889" stopIfTrue="1">
      <formula>$A$70=33</formula>
    </cfRule>
  </conditionalFormatting>
  <conditionalFormatting sqref="E81:E82 E89:E90 E105:E106 E113:E114 E121:E122 E129:E130 E97:E98 F77:F78 F93:F94 F109:F110 F125:F126">
    <cfRule type="expression" priority="82" dxfId="886" stopIfTrue="1">
      <formula>$A$70=33</formula>
    </cfRule>
  </conditionalFormatting>
  <conditionalFormatting sqref="G19:G20">
    <cfRule type="cellIs" priority="83" dxfId="910" operator="equal" stopIfTrue="1">
      <formula>87</formula>
    </cfRule>
    <cfRule type="cellIs" priority="84" dxfId="910" operator="equal" stopIfTrue="1">
      <formula>119</formula>
    </cfRule>
    <cfRule type="expression" priority="85" dxfId="886" stopIfTrue="1">
      <formula>$A$20=9</formula>
    </cfRule>
  </conditionalFormatting>
  <conditionalFormatting sqref="D149:D150">
    <cfRule type="expression" priority="26" dxfId="889" stopIfTrue="1">
      <formula>$A$136=65</formula>
    </cfRule>
  </conditionalFormatting>
  <conditionalFormatting sqref="D153:D154">
    <cfRule type="expression" priority="25" dxfId="889" stopIfTrue="1">
      <formula>$A$136=65</formula>
    </cfRule>
  </conditionalFormatting>
  <conditionalFormatting sqref="E276 E300">
    <cfRule type="expression" priority="24" dxfId="888" stopIfTrue="1">
      <formula>IF(A246="",0,1)=1</formula>
    </cfRule>
  </conditionalFormatting>
  <conditionalFormatting sqref="D271 D295">
    <cfRule type="expression" priority="23" dxfId="914" stopIfTrue="1">
      <formula>IF(A246="",0,1)=1</formula>
    </cfRule>
  </conditionalFormatting>
  <conditionalFormatting sqref="D296:D305">
    <cfRule type="expression" priority="22" dxfId="886" stopIfTrue="1">
      <formula>IF($A$270="",0,1)=1</formula>
    </cfRule>
  </conditionalFormatting>
  <conditionalFormatting sqref="D272:D281">
    <cfRule type="expression" priority="21" dxfId="886" stopIfTrue="1">
      <formula>IF($A$270="",0,1)=1</formula>
    </cfRule>
  </conditionalFormatting>
  <conditionalFormatting sqref="F277">
    <cfRule type="expression" priority="20" dxfId="914" stopIfTrue="1">
      <formula>IF($A$270="",0,1)=1</formula>
    </cfRule>
  </conditionalFormatting>
  <conditionalFormatting sqref="F300">
    <cfRule type="expression" priority="19" dxfId="889" stopIfTrue="1">
      <formula>IF($A$270="",0,1)=1</formula>
    </cfRule>
  </conditionalFormatting>
  <conditionalFormatting sqref="F278:F299">
    <cfRule type="expression" priority="18" dxfId="886" stopIfTrue="1">
      <formula>IF($A$270="",0,1)=1</formula>
    </cfRule>
  </conditionalFormatting>
  <conditionalFormatting sqref="G288:H288">
    <cfRule type="expression" priority="17" dxfId="932" stopIfTrue="1">
      <formula>IF($A$270="",0,1)=1</formula>
    </cfRule>
  </conditionalFormatting>
  <conditionalFormatting sqref="B4 B6 B8 B10 B12 B14 B16 B18">
    <cfRule type="expression" priority="16" dxfId="292" stopIfTrue="1">
      <formula>$A$4=1</formula>
    </cfRule>
  </conditionalFormatting>
  <conditionalFormatting sqref="C4 C6 C8 C10 C12 C14 C16 C18">
    <cfRule type="expression" priority="15" dxfId="888" stopIfTrue="1">
      <formula>$A$4=1</formula>
    </cfRule>
  </conditionalFormatting>
  <conditionalFormatting sqref="D5:D6 D9:D10 D13:D14 D17:D18">
    <cfRule type="expression" priority="14" dxfId="907" stopIfTrue="1">
      <formula>$A$4=1</formula>
    </cfRule>
  </conditionalFormatting>
  <conditionalFormatting sqref="E5 E9 E13 E17">
    <cfRule type="expression" priority="13" dxfId="888" stopIfTrue="1">
      <formula>$A$4=1</formula>
    </cfRule>
  </conditionalFormatting>
  <conditionalFormatting sqref="E6:E9 E14:E17">
    <cfRule type="expression" priority="12" dxfId="886" stopIfTrue="1">
      <formula>$A$4=1</formula>
    </cfRule>
  </conditionalFormatting>
  <conditionalFormatting sqref="E10 E18">
    <cfRule type="expression" priority="11" dxfId="919" stopIfTrue="1">
      <formula>$A$4=1</formula>
    </cfRule>
  </conditionalFormatting>
  <conditionalFormatting sqref="G11">
    <cfRule type="expression" priority="10" dxfId="888" stopIfTrue="1">
      <formula>$A$4=1</formula>
    </cfRule>
  </conditionalFormatting>
  <conditionalFormatting sqref="F8:F14">
    <cfRule type="expression" priority="9" dxfId="886" stopIfTrue="1">
      <formula>$A$4=1</formula>
    </cfRule>
  </conditionalFormatting>
  <conditionalFormatting sqref="F16">
    <cfRule type="expression" priority="8" dxfId="919" stopIfTrue="1">
      <formula>$A$4=1</formula>
    </cfRule>
  </conditionalFormatting>
  <conditionalFormatting sqref="F7">
    <cfRule type="expression" priority="6" dxfId="888" stopIfTrue="1">
      <formula>$A$4=1</formula>
    </cfRule>
  </conditionalFormatting>
  <conditionalFormatting sqref="F15">
    <cfRule type="expression" priority="5" dxfId="888" stopIfTrue="1">
      <formula>$A$4=1</formula>
    </cfRule>
  </conditionalFormatting>
  <conditionalFormatting sqref="F15">
    <cfRule type="expression" priority="4" dxfId="886" stopIfTrue="1">
      <formula>$A$4=1</formula>
    </cfRule>
  </conditionalFormatting>
  <conditionalFormatting sqref="F39">
    <cfRule type="expression" priority="3" dxfId="888" stopIfTrue="1">
      <formula>$A$36=17</formula>
    </cfRule>
  </conditionalFormatting>
  <conditionalFormatting sqref="F55">
    <cfRule type="expression" priority="2" dxfId="888" stopIfTrue="1">
      <formula>$A$36=17</formula>
    </cfRule>
  </conditionalFormatting>
  <conditionalFormatting sqref="G43">
    <cfRule type="expression" priority="1" dxfId="888" stopIfTrue="1">
      <formula>$A$36=17</formula>
    </cfRule>
  </conditionalFormatting>
  <printOptions horizontalCentered="1" verticalCentered="1"/>
  <pageMargins left="0" right="0" top="0" bottom="0.3937007874015748" header="0" footer="0"/>
  <pageSetup fitToHeight="1" fitToWidth="1" horizontalDpi="600" verticalDpi="600" orientation="portrait" paperSize="245" scale="19" r:id="rId2"/>
  <rowBreaks count="4" manualBreakCount="4">
    <brk id="66" max="7" man="1"/>
    <brk id="132" max="7" man="1"/>
    <brk id="198" max="7" man="1"/>
    <brk id="264" max="7" man="1"/>
  </rowBreaks>
  <drawing r:id="rId1"/>
</worksheet>
</file>

<file path=xl/worksheets/sheet14.xml><?xml version="1.0" encoding="utf-8"?>
<worksheet xmlns="http://schemas.openxmlformats.org/spreadsheetml/2006/main" xmlns:r="http://schemas.openxmlformats.org/officeDocument/2006/relationships">
  <sheetPr>
    <tabColor indexed="11"/>
  </sheetPr>
  <dimension ref="A1:Z296"/>
  <sheetViews>
    <sheetView showGridLines="0" view="pageBreakPreview" zoomScaleSheetLayoutView="100" zoomScalePageLayoutView="0" workbookViewId="0" topLeftCell="A1">
      <selection activeCell="G24" sqref="G24"/>
    </sheetView>
  </sheetViews>
  <sheetFormatPr defaultColWidth="9.00390625" defaultRowHeight="12.75"/>
  <cols>
    <col min="1" max="1" width="4.625" style="22" customWidth="1"/>
    <col min="2" max="2" width="5.00390625" style="20" customWidth="1"/>
    <col min="3" max="3" width="30.875" style="20" customWidth="1"/>
    <col min="4" max="4" width="4.25390625" style="20" customWidth="1"/>
    <col min="5" max="8" width="17.75390625" style="30" customWidth="1"/>
    <col min="9" max="9" width="1.37890625" style="30" customWidth="1"/>
    <col min="10" max="16384" width="9.125" style="20" customWidth="1"/>
  </cols>
  <sheetData>
    <row r="1" spans="1:26" ht="27" customHeight="1">
      <c r="A1" s="264" t="s">
        <v>73</v>
      </c>
      <c r="B1" s="264"/>
      <c r="C1" s="264"/>
      <c r="D1" s="264"/>
      <c r="E1" s="264"/>
      <c r="F1" s="264"/>
      <c r="G1" s="264"/>
      <c r="H1" s="264"/>
      <c r="I1" s="168"/>
      <c r="J1" s="169"/>
      <c r="K1" s="169"/>
      <c r="L1" s="169"/>
      <c r="M1" s="169"/>
      <c r="N1" s="169"/>
      <c r="O1" s="169"/>
      <c r="P1" s="169"/>
      <c r="Q1" s="169"/>
      <c r="R1" s="169"/>
      <c r="S1" s="169"/>
      <c r="T1" s="169"/>
      <c r="U1" s="169"/>
      <c r="V1" s="169"/>
      <c r="W1" s="169"/>
      <c r="X1" s="169"/>
      <c r="Y1" s="169"/>
      <c r="Z1" s="169"/>
    </row>
    <row r="2" spans="2:12" ht="21" customHeight="1">
      <c r="B2" s="170"/>
      <c r="D2" s="192" t="s">
        <v>74</v>
      </c>
      <c r="E2" s="192"/>
      <c r="F2" s="192"/>
      <c r="J2" s="73"/>
      <c r="K2" s="73"/>
      <c r="L2" s="73"/>
    </row>
    <row r="3" spans="2:9" ht="15" customHeight="1">
      <c r="B3" s="170"/>
      <c r="F3" s="171"/>
      <c r="G3" s="197" t="s">
        <v>75</v>
      </c>
      <c r="H3" s="197"/>
      <c r="I3" s="172"/>
    </row>
    <row r="4" spans="2:9" ht="15.75">
      <c r="B4" s="66">
        <v>2</v>
      </c>
      <c r="C4" s="25" t="s">
        <v>76</v>
      </c>
      <c r="D4" s="173"/>
      <c r="H4" s="31" t="s">
        <v>6</v>
      </c>
      <c r="I4" s="31"/>
    </row>
    <row r="5" spans="1:6" ht="12.75">
      <c r="A5" s="22">
        <v>1</v>
      </c>
      <c r="B5" s="66">
        <v>7</v>
      </c>
      <c r="C5" s="46" t="s">
        <v>77</v>
      </c>
      <c r="D5" s="46"/>
      <c r="E5" s="67" t="s">
        <v>34</v>
      </c>
      <c r="F5" s="67"/>
    </row>
    <row r="6" spans="2:6" ht="12.75">
      <c r="B6" s="66" t="s">
        <v>78</v>
      </c>
      <c r="C6" s="68" t="s">
        <v>79</v>
      </c>
      <c r="D6" s="261">
        <v>1</v>
      </c>
      <c r="E6" s="67" t="s">
        <v>80</v>
      </c>
      <c r="F6" s="67"/>
    </row>
    <row r="7" spans="1:6" ht="12.75">
      <c r="A7" s="22">
        <v>2</v>
      </c>
      <c r="B7" s="66" t="s">
        <v>78</v>
      </c>
      <c r="C7" s="68" t="s">
        <v>79</v>
      </c>
      <c r="D7" s="261"/>
      <c r="E7" s="67" t="s">
        <v>78</v>
      </c>
      <c r="F7" s="67" t="s">
        <v>34</v>
      </c>
    </row>
    <row r="8" spans="2:6" ht="12.75">
      <c r="B8" s="66">
        <v>39</v>
      </c>
      <c r="C8" s="68" t="s">
        <v>81</v>
      </c>
      <c r="D8" s="174"/>
      <c r="E8" s="175">
        <v>17</v>
      </c>
      <c r="F8" s="67" t="s">
        <v>80</v>
      </c>
    </row>
    <row r="9" spans="1:7" ht="12.75">
      <c r="A9" s="22">
        <v>3</v>
      </c>
      <c r="B9" s="66">
        <v>45</v>
      </c>
      <c r="C9" s="68" t="s">
        <v>82</v>
      </c>
      <c r="D9" s="174"/>
      <c r="E9" s="67" t="s">
        <v>83</v>
      </c>
      <c r="F9" s="67" t="s">
        <v>84</v>
      </c>
      <c r="G9" s="67"/>
    </row>
    <row r="10" spans="2:7" ht="12.75">
      <c r="B10" s="66">
        <v>41</v>
      </c>
      <c r="C10" s="68" t="s">
        <v>85</v>
      </c>
      <c r="D10" s="261">
        <v>2</v>
      </c>
      <c r="E10" s="67" t="s">
        <v>63</v>
      </c>
      <c r="F10" s="67"/>
      <c r="G10" s="67"/>
    </row>
    <row r="11" spans="1:7" ht="12.75">
      <c r="A11" s="22">
        <v>4</v>
      </c>
      <c r="B11" s="66">
        <v>54</v>
      </c>
      <c r="C11" s="68" t="s">
        <v>86</v>
      </c>
      <c r="D11" s="261"/>
      <c r="E11" s="67" t="s">
        <v>87</v>
      </c>
      <c r="F11" s="67"/>
      <c r="G11" s="67" t="s">
        <v>34</v>
      </c>
    </row>
    <row r="12" spans="2:8" ht="12.75">
      <c r="B12" s="66">
        <v>25</v>
      </c>
      <c r="C12" s="68" t="s">
        <v>88</v>
      </c>
      <c r="D12" s="174"/>
      <c r="E12" s="67"/>
      <c r="F12" s="261">
        <v>25</v>
      </c>
      <c r="G12" s="67" t="s">
        <v>80</v>
      </c>
      <c r="H12" s="67"/>
    </row>
    <row r="13" spans="1:8" ht="12.75">
      <c r="A13" s="22">
        <v>5</v>
      </c>
      <c r="B13" s="66">
        <v>33</v>
      </c>
      <c r="C13" s="68" t="s">
        <v>89</v>
      </c>
      <c r="D13" s="174"/>
      <c r="E13" s="67" t="s">
        <v>53</v>
      </c>
      <c r="F13" s="261"/>
      <c r="G13" s="67" t="s">
        <v>90</v>
      </c>
      <c r="H13" s="67"/>
    </row>
    <row r="14" spans="2:8" ht="12.75">
      <c r="B14" s="66" t="s">
        <v>78</v>
      </c>
      <c r="C14" s="68" t="s">
        <v>79</v>
      </c>
      <c r="D14" s="261">
        <v>3</v>
      </c>
      <c r="E14" s="67" t="s">
        <v>66</v>
      </c>
      <c r="F14" s="67"/>
      <c r="G14" s="67"/>
      <c r="H14" s="67"/>
    </row>
    <row r="15" spans="1:8" ht="12.75">
      <c r="A15" s="22">
        <v>6</v>
      </c>
      <c r="B15" s="66" t="s">
        <v>78</v>
      </c>
      <c r="C15" s="68" t="s">
        <v>79</v>
      </c>
      <c r="D15" s="261"/>
      <c r="E15" s="67" t="s">
        <v>78</v>
      </c>
      <c r="F15" s="67" t="s">
        <v>91</v>
      </c>
      <c r="G15" s="67"/>
      <c r="H15" s="67"/>
    </row>
    <row r="16" spans="2:8" ht="12.75">
      <c r="B16" s="66" t="s">
        <v>78</v>
      </c>
      <c r="C16" s="68" t="s">
        <v>79</v>
      </c>
      <c r="D16" s="174"/>
      <c r="E16" s="175">
        <v>18</v>
      </c>
      <c r="F16" s="67" t="s">
        <v>47</v>
      </c>
      <c r="G16" s="67"/>
      <c r="H16" s="67"/>
    </row>
    <row r="17" spans="1:8" ht="12.75">
      <c r="A17" s="22">
        <v>7</v>
      </c>
      <c r="B17" s="66" t="s">
        <v>78</v>
      </c>
      <c r="C17" s="68" t="s">
        <v>79</v>
      </c>
      <c r="D17" s="174"/>
      <c r="E17" s="67" t="s">
        <v>91</v>
      </c>
      <c r="F17" s="67" t="s">
        <v>92</v>
      </c>
      <c r="G17" s="67"/>
      <c r="H17" s="67"/>
    </row>
    <row r="18" spans="2:8" ht="12.75">
      <c r="B18" s="66">
        <v>15</v>
      </c>
      <c r="C18" s="68" t="s">
        <v>93</v>
      </c>
      <c r="D18" s="261">
        <v>4</v>
      </c>
      <c r="E18" s="67" t="s">
        <v>47</v>
      </c>
      <c r="F18" s="67"/>
      <c r="G18" s="67"/>
      <c r="H18" s="54"/>
    </row>
    <row r="19" spans="1:8" ht="12.75">
      <c r="A19" s="22">
        <v>8</v>
      </c>
      <c r="B19" s="66">
        <v>16</v>
      </c>
      <c r="C19" s="68" t="s">
        <v>94</v>
      </c>
      <c r="D19" s="261"/>
      <c r="E19" s="67" t="s">
        <v>78</v>
      </c>
      <c r="F19" s="67"/>
      <c r="G19" s="67"/>
      <c r="H19" s="54" t="s">
        <v>34</v>
      </c>
    </row>
    <row r="20" spans="2:8" ht="12.75">
      <c r="B20" s="48">
        <v>13</v>
      </c>
      <c r="C20" s="68" t="s">
        <v>95</v>
      </c>
      <c r="D20" s="174"/>
      <c r="E20" s="67"/>
      <c r="F20" s="67"/>
      <c r="G20" s="261">
        <v>29</v>
      </c>
      <c r="H20" s="54" t="s">
        <v>80</v>
      </c>
    </row>
    <row r="21" spans="1:9" ht="12.75">
      <c r="A21" s="22">
        <v>9</v>
      </c>
      <c r="B21" s="48">
        <v>27</v>
      </c>
      <c r="C21" s="68" t="s">
        <v>96</v>
      </c>
      <c r="D21" s="174"/>
      <c r="E21" s="67" t="s">
        <v>97</v>
      </c>
      <c r="F21" s="67"/>
      <c r="G21" s="261"/>
      <c r="H21" s="54" t="s">
        <v>98</v>
      </c>
      <c r="I21" s="67"/>
    </row>
    <row r="22" spans="2:9" ht="12.75">
      <c r="B22" s="48" t="s">
        <v>78</v>
      </c>
      <c r="C22" s="68" t="s">
        <v>79</v>
      </c>
      <c r="D22" s="261">
        <v>5</v>
      </c>
      <c r="E22" s="67" t="s">
        <v>99</v>
      </c>
      <c r="F22" s="67"/>
      <c r="G22" s="67"/>
      <c r="H22" s="67"/>
      <c r="I22" s="67"/>
    </row>
    <row r="23" spans="1:9" ht="12.75">
      <c r="A23" s="22">
        <v>10</v>
      </c>
      <c r="B23" s="48" t="s">
        <v>78</v>
      </c>
      <c r="C23" s="68" t="s">
        <v>79</v>
      </c>
      <c r="D23" s="261"/>
      <c r="E23" s="67" t="s">
        <v>78</v>
      </c>
      <c r="F23" s="67" t="s">
        <v>97</v>
      </c>
      <c r="G23" s="67"/>
      <c r="H23" s="67"/>
      <c r="I23" s="67"/>
    </row>
    <row r="24" spans="2:9" ht="12.75">
      <c r="B24" s="48">
        <v>36</v>
      </c>
      <c r="C24" s="68" t="s">
        <v>100</v>
      </c>
      <c r="D24" s="174"/>
      <c r="E24" s="175">
        <v>19</v>
      </c>
      <c r="F24" s="67" t="s">
        <v>99</v>
      </c>
      <c r="G24" s="67"/>
      <c r="H24" s="67"/>
      <c r="I24" s="67"/>
    </row>
    <row r="25" spans="1:9" ht="12.75">
      <c r="A25" s="22">
        <v>11</v>
      </c>
      <c r="B25" s="48">
        <v>52</v>
      </c>
      <c r="C25" s="68" t="s">
        <v>101</v>
      </c>
      <c r="D25" s="174"/>
      <c r="E25" s="67" t="s">
        <v>102</v>
      </c>
      <c r="F25" s="67" t="s">
        <v>103</v>
      </c>
      <c r="G25" s="67"/>
      <c r="H25" s="67"/>
      <c r="I25" s="67"/>
    </row>
    <row r="26" spans="2:9" ht="12.75">
      <c r="B26" s="48">
        <v>29</v>
      </c>
      <c r="C26" s="68" t="s">
        <v>104</v>
      </c>
      <c r="D26" s="261">
        <v>6</v>
      </c>
      <c r="E26" s="67" t="s">
        <v>55</v>
      </c>
      <c r="F26" s="67"/>
      <c r="G26" s="67"/>
      <c r="H26" s="67"/>
      <c r="I26" s="67"/>
    </row>
    <row r="27" spans="1:9" ht="12.75">
      <c r="A27" s="22">
        <v>12</v>
      </c>
      <c r="B27" s="48">
        <v>30</v>
      </c>
      <c r="C27" s="68" t="s">
        <v>105</v>
      </c>
      <c r="D27" s="261"/>
      <c r="E27" s="67" t="s">
        <v>106</v>
      </c>
      <c r="F27" s="67"/>
      <c r="G27" s="67" t="s">
        <v>107</v>
      </c>
      <c r="H27" s="67"/>
      <c r="I27" s="67"/>
    </row>
    <row r="28" spans="2:9" ht="12.75">
      <c r="B28" s="48">
        <v>60</v>
      </c>
      <c r="C28" s="68" t="s">
        <v>108</v>
      </c>
      <c r="D28" s="174"/>
      <c r="E28" s="67"/>
      <c r="F28" s="261">
        <v>26</v>
      </c>
      <c r="G28" s="67" t="s">
        <v>109</v>
      </c>
      <c r="H28" s="67"/>
      <c r="I28" s="67"/>
    </row>
    <row r="29" spans="1:9" ht="12.75">
      <c r="A29" s="22">
        <v>13</v>
      </c>
      <c r="B29" s="48">
        <v>64</v>
      </c>
      <c r="C29" s="68" t="s">
        <v>110</v>
      </c>
      <c r="D29" s="174"/>
      <c r="E29" s="67" t="s">
        <v>111</v>
      </c>
      <c r="F29" s="261"/>
      <c r="G29" s="67" t="s">
        <v>112</v>
      </c>
      <c r="H29" s="67"/>
      <c r="I29" s="67"/>
    </row>
    <row r="30" spans="2:9" ht="12.75">
      <c r="B30" s="48">
        <v>42</v>
      </c>
      <c r="C30" s="68" t="s">
        <v>113</v>
      </c>
      <c r="D30" s="261">
        <v>7</v>
      </c>
      <c r="E30" s="67" t="s">
        <v>114</v>
      </c>
      <c r="F30" s="67"/>
      <c r="G30" s="67"/>
      <c r="H30" s="67"/>
      <c r="I30" s="67"/>
    </row>
    <row r="31" spans="1:9" ht="12.75">
      <c r="A31" s="22">
        <v>14</v>
      </c>
      <c r="B31" s="48">
        <v>47</v>
      </c>
      <c r="C31" s="68" t="s">
        <v>115</v>
      </c>
      <c r="D31" s="261"/>
      <c r="E31" s="67" t="s">
        <v>116</v>
      </c>
      <c r="F31" s="67" t="s">
        <v>107</v>
      </c>
      <c r="G31" s="67"/>
      <c r="H31" s="67"/>
      <c r="I31" s="67"/>
    </row>
    <row r="32" spans="2:9" ht="12.75">
      <c r="B32" s="48" t="s">
        <v>78</v>
      </c>
      <c r="C32" s="68" t="s">
        <v>79</v>
      </c>
      <c r="D32" s="174"/>
      <c r="E32" s="175">
        <v>20</v>
      </c>
      <c r="F32" s="67" t="s">
        <v>109</v>
      </c>
      <c r="G32" s="67"/>
      <c r="H32" s="67"/>
      <c r="I32" s="67"/>
    </row>
    <row r="33" spans="1:9" ht="12.75">
      <c r="A33" s="22">
        <v>15</v>
      </c>
      <c r="B33" s="48" t="s">
        <v>78</v>
      </c>
      <c r="C33" s="68" t="s">
        <v>79</v>
      </c>
      <c r="D33" s="174"/>
      <c r="E33" s="67" t="s">
        <v>107</v>
      </c>
      <c r="F33" s="67" t="s">
        <v>117</v>
      </c>
      <c r="G33" s="67"/>
      <c r="H33" s="67"/>
      <c r="I33" s="67"/>
    </row>
    <row r="34" spans="2:9" ht="12.75">
      <c r="B34" s="48">
        <v>5</v>
      </c>
      <c r="C34" s="46" t="s">
        <v>118</v>
      </c>
      <c r="D34" s="261">
        <v>8</v>
      </c>
      <c r="E34" s="67" t="s">
        <v>109</v>
      </c>
      <c r="F34" s="67"/>
      <c r="G34" s="67"/>
      <c r="H34" s="67"/>
      <c r="I34" s="67"/>
    </row>
    <row r="35" spans="1:10" ht="12.75">
      <c r="A35" s="22">
        <v>16</v>
      </c>
      <c r="B35" s="48">
        <v>18</v>
      </c>
      <c r="C35" s="46" t="s">
        <v>119</v>
      </c>
      <c r="D35" s="261"/>
      <c r="E35" s="54" t="s">
        <v>78</v>
      </c>
      <c r="F35" s="67"/>
      <c r="G35" s="67"/>
      <c r="H35" s="48" t="s">
        <v>34</v>
      </c>
      <c r="I35" s="176"/>
      <c r="J35" s="68"/>
    </row>
    <row r="36" spans="2:10" ht="12.75">
      <c r="B36" s="48">
        <v>4</v>
      </c>
      <c r="C36" s="46" t="s">
        <v>120</v>
      </c>
      <c r="D36" s="174"/>
      <c r="E36" s="54"/>
      <c r="F36" s="67"/>
      <c r="G36" s="189">
        <v>31</v>
      </c>
      <c r="H36" s="48" t="s">
        <v>80</v>
      </c>
      <c r="I36" s="67"/>
      <c r="J36" s="68"/>
    </row>
    <row r="37" spans="1:10" ht="12.75">
      <c r="A37" s="22">
        <v>17</v>
      </c>
      <c r="B37" s="48">
        <v>22</v>
      </c>
      <c r="C37" s="46" t="s">
        <v>121</v>
      </c>
      <c r="D37" s="174"/>
      <c r="E37" s="67" t="s">
        <v>42</v>
      </c>
      <c r="F37" s="67"/>
      <c r="G37" s="189"/>
      <c r="H37" s="67" t="s">
        <v>122</v>
      </c>
      <c r="I37" s="67"/>
      <c r="J37" s="68"/>
    </row>
    <row r="38" spans="2:9" ht="12.75">
      <c r="B38" s="48" t="s">
        <v>78</v>
      </c>
      <c r="C38" s="68" t="s">
        <v>79</v>
      </c>
      <c r="D38" s="261">
        <v>9</v>
      </c>
      <c r="E38" s="67" t="s">
        <v>123</v>
      </c>
      <c r="F38" s="67"/>
      <c r="G38" s="67"/>
      <c r="H38" s="67"/>
      <c r="I38" s="67"/>
    </row>
    <row r="39" spans="1:9" ht="12.75">
      <c r="A39" s="22">
        <v>18</v>
      </c>
      <c r="B39" s="48" t="s">
        <v>78</v>
      </c>
      <c r="C39" s="68" t="s">
        <v>79</v>
      </c>
      <c r="D39" s="261"/>
      <c r="E39" s="54" t="s">
        <v>78</v>
      </c>
      <c r="F39" s="67" t="s">
        <v>124</v>
      </c>
      <c r="G39" s="67"/>
      <c r="H39" s="67"/>
      <c r="I39" s="67"/>
    </row>
    <row r="40" spans="2:9" ht="12.75">
      <c r="B40" s="48">
        <v>28</v>
      </c>
      <c r="C40" s="46" t="s">
        <v>125</v>
      </c>
      <c r="D40" s="174"/>
      <c r="E40" s="175">
        <v>21</v>
      </c>
      <c r="F40" s="67" t="s">
        <v>126</v>
      </c>
      <c r="G40" s="67"/>
      <c r="H40" s="67"/>
      <c r="I40" s="67"/>
    </row>
    <row r="41" spans="1:9" ht="12.75">
      <c r="A41" s="22">
        <v>19</v>
      </c>
      <c r="B41" s="48">
        <v>37</v>
      </c>
      <c r="C41" s="46" t="s">
        <v>127</v>
      </c>
      <c r="D41" s="174"/>
      <c r="E41" s="67" t="s">
        <v>124</v>
      </c>
      <c r="F41" s="67" t="s">
        <v>128</v>
      </c>
      <c r="G41" s="67"/>
      <c r="H41" s="67"/>
      <c r="I41" s="67"/>
    </row>
    <row r="42" spans="2:9" ht="12.75">
      <c r="B42" s="48">
        <v>26</v>
      </c>
      <c r="C42" s="46" t="s">
        <v>129</v>
      </c>
      <c r="D42" s="261">
        <v>10</v>
      </c>
      <c r="E42" s="67" t="s">
        <v>126</v>
      </c>
      <c r="F42" s="67"/>
      <c r="G42" s="67"/>
      <c r="H42" s="67"/>
      <c r="I42" s="67"/>
    </row>
    <row r="43" spans="1:9" ht="12.75">
      <c r="A43" s="22">
        <v>20</v>
      </c>
      <c r="B43" s="48">
        <v>57</v>
      </c>
      <c r="C43" s="46" t="s">
        <v>130</v>
      </c>
      <c r="D43" s="261"/>
      <c r="E43" s="54" t="s">
        <v>131</v>
      </c>
      <c r="F43" s="67"/>
      <c r="G43" s="67" t="s">
        <v>70</v>
      </c>
      <c r="H43" s="67"/>
      <c r="I43" s="67"/>
    </row>
    <row r="44" spans="2:9" ht="12.75">
      <c r="B44" s="48">
        <v>21</v>
      </c>
      <c r="C44" s="46" t="s">
        <v>132</v>
      </c>
      <c r="D44" s="174"/>
      <c r="E44" s="54"/>
      <c r="F44" s="261">
        <v>27</v>
      </c>
      <c r="G44" s="67" t="s">
        <v>133</v>
      </c>
      <c r="H44" s="67"/>
      <c r="I44" s="67"/>
    </row>
    <row r="45" spans="1:9" ht="12.75">
      <c r="A45" s="22">
        <v>21</v>
      </c>
      <c r="B45" s="48">
        <v>24</v>
      </c>
      <c r="C45" s="46" t="s">
        <v>134</v>
      </c>
      <c r="D45" s="174"/>
      <c r="E45" s="67" t="s">
        <v>70</v>
      </c>
      <c r="F45" s="261"/>
      <c r="G45" s="67" t="s">
        <v>135</v>
      </c>
      <c r="H45" s="67"/>
      <c r="I45" s="67"/>
    </row>
    <row r="46" spans="2:9" ht="12.75">
      <c r="B46" s="48">
        <v>44</v>
      </c>
      <c r="C46" s="46" t="s">
        <v>136</v>
      </c>
      <c r="D46" s="261">
        <v>11</v>
      </c>
      <c r="E46" s="67" t="s">
        <v>133</v>
      </c>
      <c r="F46" s="67"/>
      <c r="G46" s="67"/>
      <c r="H46" s="67"/>
      <c r="I46" s="67"/>
    </row>
    <row r="47" spans="1:9" ht="12.75">
      <c r="A47" s="22">
        <v>22</v>
      </c>
      <c r="B47" s="48">
        <v>73</v>
      </c>
      <c r="C47" s="46" t="s">
        <v>137</v>
      </c>
      <c r="D47" s="261"/>
      <c r="E47" s="54" t="s">
        <v>138</v>
      </c>
      <c r="F47" s="67" t="s">
        <v>70</v>
      </c>
      <c r="G47" s="67"/>
      <c r="H47" s="67"/>
      <c r="I47" s="67"/>
    </row>
    <row r="48" spans="2:9" ht="12.75">
      <c r="B48" s="48" t="s">
        <v>78</v>
      </c>
      <c r="C48" s="46" t="s">
        <v>79</v>
      </c>
      <c r="D48" s="174"/>
      <c r="E48" s="175">
        <v>22</v>
      </c>
      <c r="F48" s="67" t="s">
        <v>133</v>
      </c>
      <c r="G48" s="67"/>
      <c r="H48" s="67"/>
      <c r="I48" s="67"/>
    </row>
    <row r="49" spans="1:9" ht="12.75">
      <c r="A49" s="22">
        <v>23</v>
      </c>
      <c r="B49" s="48" t="s">
        <v>78</v>
      </c>
      <c r="C49" s="46" t="s">
        <v>79</v>
      </c>
      <c r="D49" s="174"/>
      <c r="E49" s="67" t="s">
        <v>37</v>
      </c>
      <c r="F49" s="67" t="s">
        <v>139</v>
      </c>
      <c r="G49" s="67"/>
      <c r="H49" s="67"/>
      <c r="I49" s="67"/>
    </row>
    <row r="50" spans="2:9" ht="12.75">
      <c r="B50" s="48">
        <v>14</v>
      </c>
      <c r="C50" s="46" t="s">
        <v>140</v>
      </c>
      <c r="D50" s="261">
        <v>12</v>
      </c>
      <c r="E50" s="67" t="s">
        <v>141</v>
      </c>
      <c r="F50" s="67"/>
      <c r="G50" s="67"/>
      <c r="H50" s="67"/>
      <c r="I50" s="67"/>
    </row>
    <row r="51" spans="1:9" ht="12.75">
      <c r="A51" s="22">
        <v>24</v>
      </c>
      <c r="B51" s="48">
        <v>19</v>
      </c>
      <c r="C51" s="46" t="s">
        <v>142</v>
      </c>
      <c r="D51" s="261"/>
      <c r="E51" s="54" t="s">
        <v>78</v>
      </c>
      <c r="F51" s="67"/>
      <c r="G51" s="67"/>
      <c r="H51" s="54" t="s">
        <v>143</v>
      </c>
      <c r="I51" s="67"/>
    </row>
    <row r="52" spans="2:9" ht="12.75">
      <c r="B52" s="48">
        <v>9</v>
      </c>
      <c r="C52" s="46" t="s">
        <v>144</v>
      </c>
      <c r="D52" s="174"/>
      <c r="E52" s="54"/>
      <c r="F52" s="67"/>
      <c r="G52" s="261">
        <v>30</v>
      </c>
      <c r="H52" s="54" t="s">
        <v>145</v>
      </c>
      <c r="I52" s="67"/>
    </row>
    <row r="53" spans="1:9" ht="12.75">
      <c r="A53" s="22">
        <v>25</v>
      </c>
      <c r="B53" s="48">
        <v>17</v>
      </c>
      <c r="C53" s="46" t="s">
        <v>146</v>
      </c>
      <c r="D53" s="174"/>
      <c r="E53" s="67" t="s">
        <v>147</v>
      </c>
      <c r="F53" s="67"/>
      <c r="G53" s="261"/>
      <c r="H53" s="67" t="s">
        <v>78</v>
      </c>
      <c r="I53" s="67"/>
    </row>
    <row r="54" spans="2:7" ht="12.75">
      <c r="B54" s="48" t="s">
        <v>78</v>
      </c>
      <c r="C54" s="46" t="s">
        <v>79</v>
      </c>
      <c r="D54" s="261">
        <v>13</v>
      </c>
      <c r="E54" s="67" t="s">
        <v>148</v>
      </c>
      <c r="F54" s="67"/>
      <c r="G54" s="67"/>
    </row>
    <row r="55" spans="1:7" ht="12.75">
      <c r="A55" s="22">
        <v>26</v>
      </c>
      <c r="B55" s="48" t="s">
        <v>78</v>
      </c>
      <c r="C55" s="46" t="s">
        <v>79</v>
      </c>
      <c r="D55" s="261"/>
      <c r="E55" s="54" t="s">
        <v>78</v>
      </c>
      <c r="F55" s="67" t="s">
        <v>147</v>
      </c>
      <c r="G55" s="67"/>
    </row>
    <row r="56" spans="2:7" ht="12.75">
      <c r="B56" s="48">
        <v>72</v>
      </c>
      <c r="C56" s="46" t="s">
        <v>149</v>
      </c>
      <c r="D56" s="174"/>
      <c r="E56" s="175">
        <v>23</v>
      </c>
      <c r="F56" s="67" t="s">
        <v>148</v>
      </c>
      <c r="G56" s="67"/>
    </row>
    <row r="57" spans="1:7" ht="12.75">
      <c r="A57" s="22">
        <v>27</v>
      </c>
      <c r="B57" s="48">
        <v>77</v>
      </c>
      <c r="C57" s="46" t="s">
        <v>150</v>
      </c>
      <c r="D57" s="174"/>
      <c r="E57" s="67" t="s">
        <v>151</v>
      </c>
      <c r="F57" s="67" t="s">
        <v>152</v>
      </c>
      <c r="G57" s="67"/>
    </row>
    <row r="58" spans="2:7" ht="12.75">
      <c r="B58" s="48">
        <v>59</v>
      </c>
      <c r="C58" s="46" t="s">
        <v>153</v>
      </c>
      <c r="D58" s="261">
        <v>14</v>
      </c>
      <c r="E58" s="67" t="s">
        <v>154</v>
      </c>
      <c r="F58" s="67"/>
      <c r="G58" s="67"/>
    </row>
    <row r="59" spans="1:7" ht="12.75">
      <c r="A59" s="22">
        <v>28</v>
      </c>
      <c r="B59" s="48">
        <v>70</v>
      </c>
      <c r="C59" s="46" t="s">
        <v>155</v>
      </c>
      <c r="D59" s="261"/>
      <c r="E59" s="54" t="s">
        <v>156</v>
      </c>
      <c r="F59" s="67"/>
      <c r="G59" s="67" t="s">
        <v>143</v>
      </c>
    </row>
    <row r="60" spans="2:7" ht="12.75">
      <c r="B60" s="48">
        <v>50</v>
      </c>
      <c r="C60" s="46" t="s">
        <v>157</v>
      </c>
      <c r="D60" s="174"/>
      <c r="E60" s="54"/>
      <c r="F60" s="261">
        <v>28</v>
      </c>
      <c r="G60" s="67" t="s">
        <v>145</v>
      </c>
    </row>
    <row r="61" spans="1:7" ht="12.75">
      <c r="A61" s="22">
        <v>29</v>
      </c>
      <c r="B61" s="48">
        <v>85</v>
      </c>
      <c r="C61" s="46" t="s">
        <v>158</v>
      </c>
      <c r="D61" s="174"/>
      <c r="E61" s="67" t="s">
        <v>159</v>
      </c>
      <c r="F61" s="261"/>
      <c r="G61" s="67" t="s">
        <v>160</v>
      </c>
    </row>
    <row r="62" spans="2:7" ht="12.75">
      <c r="B62" s="48">
        <v>23</v>
      </c>
      <c r="C62" s="46" t="s">
        <v>161</v>
      </c>
      <c r="D62" s="261">
        <v>15</v>
      </c>
      <c r="E62" s="67" t="s">
        <v>162</v>
      </c>
      <c r="F62" s="67"/>
      <c r="G62" s="67"/>
    </row>
    <row r="63" spans="1:7" ht="12.75">
      <c r="A63" s="22">
        <v>30</v>
      </c>
      <c r="B63" s="48">
        <v>32</v>
      </c>
      <c r="C63" s="46" t="s">
        <v>163</v>
      </c>
      <c r="D63" s="261"/>
      <c r="E63" s="54" t="s">
        <v>164</v>
      </c>
      <c r="F63" s="67" t="s">
        <v>143</v>
      </c>
      <c r="G63" s="67"/>
    </row>
    <row r="64" spans="2:7" ht="12.75">
      <c r="B64" s="48" t="s">
        <v>78</v>
      </c>
      <c r="C64" s="46" t="s">
        <v>79</v>
      </c>
      <c r="D64" s="174"/>
      <c r="E64" s="175">
        <v>24</v>
      </c>
      <c r="F64" s="67" t="s">
        <v>145</v>
      </c>
      <c r="G64" s="67"/>
    </row>
    <row r="65" spans="1:7" ht="12.75">
      <c r="A65" s="22">
        <v>31</v>
      </c>
      <c r="B65" s="48" t="s">
        <v>78</v>
      </c>
      <c r="C65" s="46" t="s">
        <v>79</v>
      </c>
      <c r="D65" s="174"/>
      <c r="E65" s="67" t="s">
        <v>143</v>
      </c>
      <c r="F65" s="67" t="s">
        <v>165</v>
      </c>
      <c r="G65" s="67"/>
    </row>
    <row r="66" spans="2:7" ht="12.75">
      <c r="B66" s="48">
        <v>8</v>
      </c>
      <c r="C66" s="46" t="s">
        <v>166</v>
      </c>
      <c r="D66" s="261">
        <v>16</v>
      </c>
      <c r="E66" s="67" t="s">
        <v>145</v>
      </c>
      <c r="F66" s="67"/>
      <c r="G66" s="67"/>
    </row>
    <row r="67" spans="1:7" ht="12.75">
      <c r="A67" s="22">
        <v>32</v>
      </c>
      <c r="B67" s="48">
        <v>11</v>
      </c>
      <c r="C67" s="46" t="s">
        <v>167</v>
      </c>
      <c r="D67" s="261"/>
      <c r="E67" s="67" t="s">
        <v>78</v>
      </c>
      <c r="F67" s="67"/>
      <c r="G67" s="67"/>
    </row>
    <row r="68" spans="1:9" ht="25.5">
      <c r="A68" s="262" t="s">
        <v>78</v>
      </c>
      <c r="B68" s="262"/>
      <c r="C68" s="262"/>
      <c r="D68" s="262"/>
      <c r="E68" s="262"/>
      <c r="F68" s="262"/>
      <c r="G68" s="262"/>
      <c r="H68" s="262"/>
      <c r="I68" s="177"/>
    </row>
    <row r="69" spans="2:8" ht="18.75">
      <c r="B69" s="170"/>
      <c r="D69" s="192" t="s">
        <v>78</v>
      </c>
      <c r="E69" s="192"/>
      <c r="F69" s="192"/>
      <c r="H69" s="120" t="s">
        <v>78</v>
      </c>
    </row>
    <row r="70" spans="2:8" ht="15" customHeight="1">
      <c r="B70" s="170"/>
      <c r="F70" s="171"/>
      <c r="H70" s="178" t="s">
        <v>78</v>
      </c>
    </row>
    <row r="71" spans="2:4" ht="13.5">
      <c r="B71" s="66" t="s">
        <v>78</v>
      </c>
      <c r="C71" s="25" t="s">
        <v>78</v>
      </c>
      <c r="D71" s="170"/>
    </row>
    <row r="72" spans="1:8" ht="12.75">
      <c r="A72" s="22" t="s">
        <v>78</v>
      </c>
      <c r="B72" s="66" t="s">
        <v>78</v>
      </c>
      <c r="C72" s="46" t="s">
        <v>78</v>
      </c>
      <c r="D72" s="68"/>
      <c r="E72" s="67" t="s">
        <v>78</v>
      </c>
      <c r="F72" s="67"/>
      <c r="G72" s="67"/>
      <c r="H72" s="67"/>
    </row>
    <row r="73" spans="2:8" ht="12.75">
      <c r="B73" s="66" t="s">
        <v>78</v>
      </c>
      <c r="C73" s="46" t="s">
        <v>78</v>
      </c>
      <c r="D73" s="261" t="s">
        <v>78</v>
      </c>
      <c r="E73" s="67" t="s">
        <v>78</v>
      </c>
      <c r="F73" s="67"/>
      <c r="G73" s="67"/>
      <c r="H73" s="67"/>
    </row>
    <row r="74" spans="1:8" ht="12.75">
      <c r="A74" s="22" t="s">
        <v>78</v>
      </c>
      <c r="B74" s="66" t="s">
        <v>78</v>
      </c>
      <c r="C74" s="46" t="s">
        <v>78</v>
      </c>
      <c r="D74" s="261"/>
      <c r="E74" s="67" t="s">
        <v>78</v>
      </c>
      <c r="F74" s="67" t="s">
        <v>78</v>
      </c>
      <c r="G74" s="67"/>
      <c r="H74" s="67"/>
    </row>
    <row r="75" spans="2:8" ht="12.75">
      <c r="B75" s="66" t="s">
        <v>78</v>
      </c>
      <c r="C75" s="46" t="s">
        <v>78</v>
      </c>
      <c r="D75" s="174"/>
      <c r="E75" s="175" t="s">
        <v>78</v>
      </c>
      <c r="F75" s="67" t="s">
        <v>78</v>
      </c>
      <c r="G75" s="67"/>
      <c r="H75" s="67"/>
    </row>
    <row r="76" spans="1:8" ht="12.75">
      <c r="A76" s="22" t="s">
        <v>78</v>
      </c>
      <c r="B76" s="66" t="s">
        <v>78</v>
      </c>
      <c r="C76" s="46" t="s">
        <v>78</v>
      </c>
      <c r="D76" s="174"/>
      <c r="E76" s="67" t="s">
        <v>78</v>
      </c>
      <c r="F76" s="67" t="s">
        <v>78</v>
      </c>
      <c r="G76" s="67"/>
      <c r="H76" s="67"/>
    </row>
    <row r="77" spans="2:8" ht="12.75">
      <c r="B77" s="66" t="s">
        <v>78</v>
      </c>
      <c r="C77" s="46" t="s">
        <v>78</v>
      </c>
      <c r="D77" s="261" t="s">
        <v>78</v>
      </c>
      <c r="E77" s="67" t="s">
        <v>78</v>
      </c>
      <c r="F77" s="67"/>
      <c r="G77" s="67"/>
      <c r="H77" s="67"/>
    </row>
    <row r="78" spans="1:8" ht="12.75">
      <c r="A78" s="22" t="s">
        <v>78</v>
      </c>
      <c r="B78" s="66" t="s">
        <v>78</v>
      </c>
      <c r="C78" s="46" t="s">
        <v>78</v>
      </c>
      <c r="D78" s="261"/>
      <c r="E78" s="67" t="s">
        <v>78</v>
      </c>
      <c r="F78" s="67"/>
      <c r="G78" s="67" t="s">
        <v>78</v>
      </c>
      <c r="H78" s="67"/>
    </row>
    <row r="79" spans="2:8" ht="12.75">
      <c r="B79" s="66" t="s">
        <v>78</v>
      </c>
      <c r="C79" s="46" t="s">
        <v>78</v>
      </c>
      <c r="D79" s="174"/>
      <c r="E79" s="67"/>
      <c r="F79" s="261" t="s">
        <v>78</v>
      </c>
      <c r="G79" s="67" t="s">
        <v>78</v>
      </c>
      <c r="H79" s="67"/>
    </row>
    <row r="80" spans="1:8" ht="12.75">
      <c r="A80" s="22" t="s">
        <v>78</v>
      </c>
      <c r="B80" s="66" t="s">
        <v>78</v>
      </c>
      <c r="C80" s="46" t="s">
        <v>78</v>
      </c>
      <c r="D80" s="174"/>
      <c r="E80" s="67" t="s">
        <v>78</v>
      </c>
      <c r="F80" s="261"/>
      <c r="G80" s="67" t="s">
        <v>78</v>
      </c>
      <c r="H80" s="67"/>
    </row>
    <row r="81" spans="2:8" ht="12.75">
      <c r="B81" s="66" t="s">
        <v>78</v>
      </c>
      <c r="C81" s="46" t="s">
        <v>78</v>
      </c>
      <c r="D81" s="261" t="s">
        <v>78</v>
      </c>
      <c r="E81" s="67" t="s">
        <v>78</v>
      </c>
      <c r="F81" s="67"/>
      <c r="G81" s="67"/>
      <c r="H81" s="67"/>
    </row>
    <row r="82" spans="1:8" ht="12.75">
      <c r="A82" s="22" t="s">
        <v>78</v>
      </c>
      <c r="B82" s="66" t="s">
        <v>78</v>
      </c>
      <c r="C82" s="46" t="s">
        <v>78</v>
      </c>
      <c r="D82" s="261"/>
      <c r="E82" s="67" t="s">
        <v>78</v>
      </c>
      <c r="F82" s="67" t="s">
        <v>78</v>
      </c>
      <c r="G82" s="67"/>
      <c r="H82" s="67"/>
    </row>
    <row r="83" spans="2:8" ht="12.75">
      <c r="B83" s="66" t="s">
        <v>78</v>
      </c>
      <c r="C83" s="46" t="s">
        <v>78</v>
      </c>
      <c r="D83" s="174"/>
      <c r="E83" s="175" t="s">
        <v>78</v>
      </c>
      <c r="F83" s="67" t="s">
        <v>78</v>
      </c>
      <c r="G83" s="67"/>
      <c r="H83" s="67"/>
    </row>
    <row r="84" spans="1:8" ht="12.75">
      <c r="A84" s="22" t="s">
        <v>78</v>
      </c>
      <c r="B84" s="66" t="s">
        <v>78</v>
      </c>
      <c r="C84" s="46" t="s">
        <v>78</v>
      </c>
      <c r="D84" s="174"/>
      <c r="E84" s="67" t="s">
        <v>78</v>
      </c>
      <c r="F84" s="67" t="s">
        <v>78</v>
      </c>
      <c r="G84" s="67"/>
      <c r="H84" s="67"/>
    </row>
    <row r="85" spans="2:8" ht="12.75">
      <c r="B85" s="66" t="s">
        <v>78</v>
      </c>
      <c r="C85" s="46" t="s">
        <v>78</v>
      </c>
      <c r="D85" s="261" t="s">
        <v>78</v>
      </c>
      <c r="E85" s="67" t="s">
        <v>78</v>
      </c>
      <c r="F85" s="67"/>
      <c r="G85" s="67"/>
      <c r="H85" s="54"/>
    </row>
    <row r="86" spans="1:8" ht="12.75">
      <c r="A86" s="22" t="s">
        <v>78</v>
      </c>
      <c r="B86" s="66" t="s">
        <v>78</v>
      </c>
      <c r="C86" s="46" t="s">
        <v>78</v>
      </c>
      <c r="D86" s="261"/>
      <c r="E86" s="67" t="s">
        <v>78</v>
      </c>
      <c r="F86" s="67"/>
      <c r="G86" s="67"/>
      <c r="H86" s="54" t="s">
        <v>78</v>
      </c>
    </row>
    <row r="87" spans="2:8" ht="12.75">
      <c r="B87" s="66" t="s">
        <v>78</v>
      </c>
      <c r="C87" s="46" t="s">
        <v>78</v>
      </c>
      <c r="D87" s="174"/>
      <c r="E87" s="67"/>
      <c r="F87" s="67"/>
      <c r="G87" s="261" t="s">
        <v>78</v>
      </c>
      <c r="H87" s="54" t="s">
        <v>78</v>
      </c>
    </row>
    <row r="88" spans="1:9" ht="12.75">
      <c r="A88" s="22" t="s">
        <v>78</v>
      </c>
      <c r="B88" s="66" t="s">
        <v>78</v>
      </c>
      <c r="C88" s="46" t="s">
        <v>78</v>
      </c>
      <c r="D88" s="174"/>
      <c r="E88" s="67" t="s">
        <v>78</v>
      </c>
      <c r="F88" s="67"/>
      <c r="G88" s="261"/>
      <c r="H88" s="54" t="s">
        <v>78</v>
      </c>
      <c r="I88" s="67"/>
    </row>
    <row r="89" spans="2:9" ht="12.75">
      <c r="B89" s="66" t="s">
        <v>78</v>
      </c>
      <c r="C89" s="46" t="s">
        <v>78</v>
      </c>
      <c r="D89" s="261" t="s">
        <v>78</v>
      </c>
      <c r="E89" s="67" t="s">
        <v>78</v>
      </c>
      <c r="F89" s="67"/>
      <c r="G89" s="67"/>
      <c r="H89" s="67"/>
      <c r="I89" s="67"/>
    </row>
    <row r="90" spans="1:9" ht="12.75">
      <c r="A90" s="22" t="s">
        <v>78</v>
      </c>
      <c r="B90" s="66" t="s">
        <v>78</v>
      </c>
      <c r="C90" s="46" t="s">
        <v>78</v>
      </c>
      <c r="D90" s="261"/>
      <c r="E90" s="67" t="s">
        <v>78</v>
      </c>
      <c r="F90" s="67" t="s">
        <v>78</v>
      </c>
      <c r="G90" s="67"/>
      <c r="H90" s="67"/>
      <c r="I90" s="67"/>
    </row>
    <row r="91" spans="2:9" ht="12.75">
      <c r="B91" s="66" t="s">
        <v>78</v>
      </c>
      <c r="C91" s="46" t="s">
        <v>78</v>
      </c>
      <c r="D91" s="174"/>
      <c r="E91" s="175" t="s">
        <v>78</v>
      </c>
      <c r="F91" s="67" t="s">
        <v>78</v>
      </c>
      <c r="G91" s="67"/>
      <c r="H91" s="67"/>
      <c r="I91" s="67"/>
    </row>
    <row r="92" spans="1:9" ht="12.75">
      <c r="A92" s="22" t="s">
        <v>78</v>
      </c>
      <c r="B92" s="66" t="s">
        <v>78</v>
      </c>
      <c r="C92" s="46" t="s">
        <v>78</v>
      </c>
      <c r="D92" s="174"/>
      <c r="E92" s="67" t="s">
        <v>78</v>
      </c>
      <c r="F92" s="67" t="s">
        <v>78</v>
      </c>
      <c r="G92" s="67"/>
      <c r="H92" s="67"/>
      <c r="I92" s="67"/>
    </row>
    <row r="93" spans="2:9" ht="12.75">
      <c r="B93" s="66" t="s">
        <v>78</v>
      </c>
      <c r="C93" s="46" t="s">
        <v>78</v>
      </c>
      <c r="D93" s="261" t="s">
        <v>78</v>
      </c>
      <c r="E93" s="67" t="s">
        <v>78</v>
      </c>
      <c r="F93" s="67"/>
      <c r="G93" s="67"/>
      <c r="H93" s="67"/>
      <c r="I93" s="67"/>
    </row>
    <row r="94" spans="1:9" ht="12.75">
      <c r="A94" s="22" t="s">
        <v>78</v>
      </c>
      <c r="B94" s="66" t="s">
        <v>78</v>
      </c>
      <c r="C94" s="46" t="s">
        <v>78</v>
      </c>
      <c r="D94" s="261"/>
      <c r="E94" s="67" t="s">
        <v>78</v>
      </c>
      <c r="F94" s="67"/>
      <c r="G94" s="67" t="s">
        <v>78</v>
      </c>
      <c r="H94" s="67"/>
      <c r="I94" s="67"/>
    </row>
    <row r="95" spans="2:9" ht="12.75">
      <c r="B95" s="66" t="s">
        <v>78</v>
      </c>
      <c r="C95" s="46" t="s">
        <v>78</v>
      </c>
      <c r="D95" s="174"/>
      <c r="E95" s="67"/>
      <c r="F95" s="261" t="s">
        <v>78</v>
      </c>
      <c r="G95" s="67" t="s">
        <v>78</v>
      </c>
      <c r="H95" s="67"/>
      <c r="I95" s="67"/>
    </row>
    <row r="96" spans="1:9" ht="12.75">
      <c r="A96" s="22" t="s">
        <v>78</v>
      </c>
      <c r="B96" s="66" t="s">
        <v>78</v>
      </c>
      <c r="C96" s="46" t="s">
        <v>78</v>
      </c>
      <c r="D96" s="174"/>
      <c r="E96" s="67" t="s">
        <v>78</v>
      </c>
      <c r="F96" s="261"/>
      <c r="G96" s="67" t="s">
        <v>78</v>
      </c>
      <c r="H96" s="67"/>
      <c r="I96" s="67"/>
    </row>
    <row r="97" spans="2:9" ht="12.75">
      <c r="B97" s="66" t="s">
        <v>78</v>
      </c>
      <c r="C97" s="46" t="s">
        <v>78</v>
      </c>
      <c r="D97" s="261" t="s">
        <v>78</v>
      </c>
      <c r="E97" s="67" t="s">
        <v>78</v>
      </c>
      <c r="F97" s="67"/>
      <c r="G97" s="67"/>
      <c r="H97" s="67"/>
      <c r="I97" s="67"/>
    </row>
    <row r="98" spans="1:9" ht="12.75">
      <c r="A98" s="22" t="s">
        <v>78</v>
      </c>
      <c r="B98" s="66" t="s">
        <v>78</v>
      </c>
      <c r="C98" s="46" t="s">
        <v>78</v>
      </c>
      <c r="D98" s="261"/>
      <c r="E98" s="67" t="s">
        <v>78</v>
      </c>
      <c r="F98" s="67" t="s">
        <v>78</v>
      </c>
      <c r="G98" s="67"/>
      <c r="H98" s="67"/>
      <c r="I98" s="67"/>
    </row>
    <row r="99" spans="2:9" ht="12.75">
      <c r="B99" s="66" t="s">
        <v>78</v>
      </c>
      <c r="C99" s="46" t="s">
        <v>78</v>
      </c>
      <c r="D99" s="174"/>
      <c r="E99" s="175" t="s">
        <v>78</v>
      </c>
      <c r="F99" s="67" t="s">
        <v>78</v>
      </c>
      <c r="G99" s="67"/>
      <c r="H99" s="67"/>
      <c r="I99" s="67"/>
    </row>
    <row r="100" spans="1:9" ht="12.75">
      <c r="A100" s="22" t="s">
        <v>78</v>
      </c>
      <c r="B100" s="66" t="s">
        <v>78</v>
      </c>
      <c r="C100" s="46" t="s">
        <v>78</v>
      </c>
      <c r="D100" s="174"/>
      <c r="E100" s="67" t="s">
        <v>78</v>
      </c>
      <c r="F100" s="67" t="s">
        <v>78</v>
      </c>
      <c r="G100" s="67"/>
      <c r="H100" s="67"/>
      <c r="I100" s="67"/>
    </row>
    <row r="101" spans="2:9" ht="12.75">
      <c r="B101" s="66" t="s">
        <v>78</v>
      </c>
      <c r="C101" s="46" t="s">
        <v>78</v>
      </c>
      <c r="D101" s="261" t="s">
        <v>78</v>
      </c>
      <c r="E101" s="67" t="s">
        <v>78</v>
      </c>
      <c r="F101" s="67"/>
      <c r="G101" s="67"/>
      <c r="H101" s="67"/>
      <c r="I101" s="67"/>
    </row>
    <row r="102" spans="1:9" ht="12.75">
      <c r="A102" s="22" t="s">
        <v>78</v>
      </c>
      <c r="B102" s="66" t="s">
        <v>78</v>
      </c>
      <c r="C102" s="46" t="s">
        <v>78</v>
      </c>
      <c r="D102" s="261"/>
      <c r="E102" s="54" t="s">
        <v>78</v>
      </c>
      <c r="F102" s="67"/>
      <c r="G102" s="67"/>
      <c r="H102" s="161" t="s">
        <v>78</v>
      </c>
      <c r="I102" s="67"/>
    </row>
    <row r="103" spans="2:9" ht="12.75">
      <c r="B103" s="66" t="s">
        <v>78</v>
      </c>
      <c r="C103" s="46" t="s">
        <v>78</v>
      </c>
      <c r="D103" s="174"/>
      <c r="E103" s="54"/>
      <c r="F103" s="67"/>
      <c r="G103" s="261" t="s">
        <v>78</v>
      </c>
      <c r="H103" s="176" t="s">
        <v>78</v>
      </c>
      <c r="I103" s="67"/>
    </row>
    <row r="104" spans="1:9" ht="12.75">
      <c r="A104" s="22" t="s">
        <v>78</v>
      </c>
      <c r="B104" s="66" t="s">
        <v>78</v>
      </c>
      <c r="C104" s="46" t="s">
        <v>78</v>
      </c>
      <c r="D104" s="174"/>
      <c r="E104" s="67" t="s">
        <v>78</v>
      </c>
      <c r="F104" s="67"/>
      <c r="G104" s="261"/>
      <c r="H104" s="67" t="s">
        <v>78</v>
      </c>
      <c r="I104" s="67"/>
    </row>
    <row r="105" spans="2:9" ht="12.75">
      <c r="B105" s="66" t="s">
        <v>78</v>
      </c>
      <c r="C105" s="46" t="s">
        <v>78</v>
      </c>
      <c r="D105" s="261" t="s">
        <v>78</v>
      </c>
      <c r="E105" s="67" t="s">
        <v>78</v>
      </c>
      <c r="F105" s="67"/>
      <c r="G105" s="67"/>
      <c r="H105" s="67"/>
      <c r="I105" s="67"/>
    </row>
    <row r="106" spans="1:9" ht="12.75">
      <c r="A106" s="22" t="s">
        <v>78</v>
      </c>
      <c r="B106" s="66" t="s">
        <v>78</v>
      </c>
      <c r="C106" s="46" t="s">
        <v>78</v>
      </c>
      <c r="D106" s="261"/>
      <c r="E106" s="54" t="s">
        <v>78</v>
      </c>
      <c r="F106" s="67" t="s">
        <v>78</v>
      </c>
      <c r="G106" s="67"/>
      <c r="H106" s="67"/>
      <c r="I106" s="67"/>
    </row>
    <row r="107" spans="2:9" ht="12.75">
      <c r="B107" s="66" t="s">
        <v>78</v>
      </c>
      <c r="C107" s="46" t="s">
        <v>78</v>
      </c>
      <c r="D107" s="174"/>
      <c r="E107" s="175" t="s">
        <v>78</v>
      </c>
      <c r="F107" s="67" t="s">
        <v>78</v>
      </c>
      <c r="G107" s="67"/>
      <c r="H107" s="67"/>
      <c r="I107" s="67"/>
    </row>
    <row r="108" spans="1:9" ht="12.75">
      <c r="A108" s="22" t="s">
        <v>78</v>
      </c>
      <c r="B108" s="66" t="s">
        <v>78</v>
      </c>
      <c r="C108" s="46" t="s">
        <v>78</v>
      </c>
      <c r="D108" s="174"/>
      <c r="E108" s="67" t="s">
        <v>78</v>
      </c>
      <c r="F108" s="67" t="s">
        <v>78</v>
      </c>
      <c r="G108" s="67"/>
      <c r="H108" s="67"/>
      <c r="I108" s="67"/>
    </row>
    <row r="109" spans="2:9" ht="12.75">
      <c r="B109" s="66" t="s">
        <v>78</v>
      </c>
      <c r="C109" s="46" t="s">
        <v>78</v>
      </c>
      <c r="D109" s="261" t="s">
        <v>78</v>
      </c>
      <c r="E109" s="67" t="s">
        <v>78</v>
      </c>
      <c r="F109" s="67"/>
      <c r="G109" s="67"/>
      <c r="H109" s="67"/>
      <c r="I109" s="67"/>
    </row>
    <row r="110" spans="1:9" ht="12.75">
      <c r="A110" s="22" t="s">
        <v>78</v>
      </c>
      <c r="B110" s="66" t="s">
        <v>78</v>
      </c>
      <c r="C110" s="46" t="s">
        <v>78</v>
      </c>
      <c r="D110" s="261"/>
      <c r="E110" s="54" t="s">
        <v>78</v>
      </c>
      <c r="F110" s="67"/>
      <c r="G110" s="67" t="s">
        <v>78</v>
      </c>
      <c r="H110" s="67"/>
      <c r="I110" s="67"/>
    </row>
    <row r="111" spans="2:9" ht="12.75">
      <c r="B111" s="66" t="s">
        <v>78</v>
      </c>
      <c r="C111" s="46" t="s">
        <v>78</v>
      </c>
      <c r="D111" s="174"/>
      <c r="E111" s="54"/>
      <c r="F111" s="261" t="s">
        <v>78</v>
      </c>
      <c r="G111" s="67" t="s">
        <v>78</v>
      </c>
      <c r="H111" s="67"/>
      <c r="I111" s="67"/>
    </row>
    <row r="112" spans="1:9" ht="12.75">
      <c r="A112" s="22" t="s">
        <v>78</v>
      </c>
      <c r="B112" s="66" t="s">
        <v>78</v>
      </c>
      <c r="C112" s="46" t="s">
        <v>78</v>
      </c>
      <c r="D112" s="174"/>
      <c r="E112" s="67" t="s">
        <v>78</v>
      </c>
      <c r="F112" s="261"/>
      <c r="G112" s="67" t="s">
        <v>78</v>
      </c>
      <c r="H112" s="67"/>
      <c r="I112" s="67"/>
    </row>
    <row r="113" spans="2:9" ht="12.75">
      <c r="B113" s="66" t="s">
        <v>78</v>
      </c>
      <c r="C113" s="46" t="s">
        <v>78</v>
      </c>
      <c r="D113" s="261" t="s">
        <v>78</v>
      </c>
      <c r="E113" s="67" t="s">
        <v>78</v>
      </c>
      <c r="F113" s="67"/>
      <c r="G113" s="67"/>
      <c r="H113" s="67"/>
      <c r="I113" s="67"/>
    </row>
    <row r="114" spans="1:9" ht="12.75">
      <c r="A114" s="22" t="s">
        <v>78</v>
      </c>
      <c r="B114" s="66" t="s">
        <v>78</v>
      </c>
      <c r="C114" s="46" t="s">
        <v>78</v>
      </c>
      <c r="D114" s="261"/>
      <c r="E114" s="54" t="s">
        <v>78</v>
      </c>
      <c r="F114" s="67" t="s">
        <v>78</v>
      </c>
      <c r="G114" s="67"/>
      <c r="H114" s="67"/>
      <c r="I114" s="67"/>
    </row>
    <row r="115" spans="2:9" ht="12.75">
      <c r="B115" s="66" t="s">
        <v>78</v>
      </c>
      <c r="C115" s="46" t="s">
        <v>78</v>
      </c>
      <c r="D115" s="174"/>
      <c r="E115" s="175" t="s">
        <v>78</v>
      </c>
      <c r="F115" s="67" t="s">
        <v>78</v>
      </c>
      <c r="G115" s="67"/>
      <c r="H115" s="67"/>
      <c r="I115" s="67"/>
    </row>
    <row r="116" spans="1:9" ht="12.75">
      <c r="A116" s="22" t="s">
        <v>78</v>
      </c>
      <c r="B116" s="66" t="s">
        <v>78</v>
      </c>
      <c r="C116" s="46" t="s">
        <v>78</v>
      </c>
      <c r="D116" s="174"/>
      <c r="E116" s="67" t="s">
        <v>78</v>
      </c>
      <c r="F116" s="67" t="s">
        <v>78</v>
      </c>
      <c r="G116" s="67"/>
      <c r="H116" s="67"/>
      <c r="I116" s="67"/>
    </row>
    <row r="117" spans="2:9" ht="12.75">
      <c r="B117" s="66" t="s">
        <v>78</v>
      </c>
      <c r="C117" s="46" t="s">
        <v>78</v>
      </c>
      <c r="D117" s="261" t="s">
        <v>78</v>
      </c>
      <c r="E117" s="67" t="s">
        <v>78</v>
      </c>
      <c r="F117" s="67"/>
      <c r="G117" s="67"/>
      <c r="H117" s="67"/>
      <c r="I117" s="67"/>
    </row>
    <row r="118" spans="1:9" ht="12.75">
      <c r="A118" s="22" t="s">
        <v>78</v>
      </c>
      <c r="B118" s="66" t="s">
        <v>78</v>
      </c>
      <c r="C118" s="46" t="s">
        <v>78</v>
      </c>
      <c r="D118" s="261"/>
      <c r="E118" s="54" t="s">
        <v>78</v>
      </c>
      <c r="F118" s="67"/>
      <c r="G118" s="67"/>
      <c r="H118" s="54" t="s">
        <v>78</v>
      </c>
      <c r="I118" s="67"/>
    </row>
    <row r="119" spans="2:9" ht="12.75">
      <c r="B119" s="66" t="s">
        <v>78</v>
      </c>
      <c r="C119" s="46" t="s">
        <v>78</v>
      </c>
      <c r="D119" s="174"/>
      <c r="E119" s="54"/>
      <c r="F119" s="67"/>
      <c r="G119" s="261" t="s">
        <v>78</v>
      </c>
      <c r="H119" s="54" t="s">
        <v>78</v>
      </c>
      <c r="I119" s="67"/>
    </row>
    <row r="120" spans="1:8" ht="12.75">
      <c r="A120" s="22" t="s">
        <v>78</v>
      </c>
      <c r="B120" s="66" t="s">
        <v>78</v>
      </c>
      <c r="C120" s="46" t="s">
        <v>78</v>
      </c>
      <c r="D120" s="174"/>
      <c r="E120" s="67" t="s">
        <v>78</v>
      </c>
      <c r="F120" s="67"/>
      <c r="G120" s="261"/>
      <c r="H120" s="67" t="s">
        <v>78</v>
      </c>
    </row>
    <row r="121" spans="2:8" ht="12.75">
      <c r="B121" s="66" t="s">
        <v>78</v>
      </c>
      <c r="C121" s="46" t="s">
        <v>78</v>
      </c>
      <c r="D121" s="261" t="s">
        <v>78</v>
      </c>
      <c r="E121" s="67" t="s">
        <v>78</v>
      </c>
      <c r="F121" s="67"/>
      <c r="G121" s="67"/>
      <c r="H121" s="67"/>
    </row>
    <row r="122" spans="1:8" ht="12.75">
      <c r="A122" s="22" t="s">
        <v>78</v>
      </c>
      <c r="B122" s="66" t="s">
        <v>78</v>
      </c>
      <c r="C122" s="46" t="s">
        <v>78</v>
      </c>
      <c r="D122" s="261"/>
      <c r="E122" s="54" t="s">
        <v>78</v>
      </c>
      <c r="F122" s="67" t="s">
        <v>78</v>
      </c>
      <c r="G122" s="67"/>
      <c r="H122" s="67"/>
    </row>
    <row r="123" spans="2:8" ht="12.75">
      <c r="B123" s="66" t="s">
        <v>78</v>
      </c>
      <c r="C123" s="46" t="s">
        <v>78</v>
      </c>
      <c r="D123" s="174"/>
      <c r="E123" s="175" t="s">
        <v>78</v>
      </c>
      <c r="F123" s="67" t="s">
        <v>78</v>
      </c>
      <c r="G123" s="67"/>
      <c r="H123" s="67"/>
    </row>
    <row r="124" spans="1:8" ht="12.75">
      <c r="A124" s="22" t="s">
        <v>78</v>
      </c>
      <c r="B124" s="66" t="s">
        <v>78</v>
      </c>
      <c r="C124" s="46" t="s">
        <v>78</v>
      </c>
      <c r="D124" s="174"/>
      <c r="E124" s="67" t="s">
        <v>78</v>
      </c>
      <c r="F124" s="67" t="s">
        <v>78</v>
      </c>
      <c r="G124" s="67"/>
      <c r="H124" s="67"/>
    </row>
    <row r="125" spans="2:8" ht="12.75">
      <c r="B125" s="66" t="s">
        <v>78</v>
      </c>
      <c r="C125" s="46" t="s">
        <v>78</v>
      </c>
      <c r="D125" s="261" t="s">
        <v>78</v>
      </c>
      <c r="E125" s="67" t="s">
        <v>78</v>
      </c>
      <c r="F125" s="67"/>
      <c r="G125" s="67"/>
      <c r="H125" s="67"/>
    </row>
    <row r="126" spans="1:8" ht="12.75">
      <c r="A126" s="22" t="s">
        <v>78</v>
      </c>
      <c r="B126" s="66" t="s">
        <v>78</v>
      </c>
      <c r="C126" s="46" t="s">
        <v>78</v>
      </c>
      <c r="D126" s="261"/>
      <c r="E126" s="54" t="s">
        <v>78</v>
      </c>
      <c r="F126" s="67"/>
      <c r="G126" s="67" t="s">
        <v>78</v>
      </c>
      <c r="H126" s="67"/>
    </row>
    <row r="127" spans="2:8" ht="12.75">
      <c r="B127" s="66" t="s">
        <v>78</v>
      </c>
      <c r="C127" s="46" t="s">
        <v>78</v>
      </c>
      <c r="D127" s="174"/>
      <c r="E127" s="54"/>
      <c r="F127" s="261" t="s">
        <v>78</v>
      </c>
      <c r="G127" s="67" t="s">
        <v>78</v>
      </c>
      <c r="H127" s="67"/>
    </row>
    <row r="128" spans="1:8" ht="12.75">
      <c r="A128" s="22" t="s">
        <v>78</v>
      </c>
      <c r="B128" s="66" t="s">
        <v>78</v>
      </c>
      <c r="C128" s="46" t="s">
        <v>78</v>
      </c>
      <c r="D128" s="174"/>
      <c r="E128" s="67" t="s">
        <v>78</v>
      </c>
      <c r="F128" s="261"/>
      <c r="G128" s="67" t="s">
        <v>78</v>
      </c>
      <c r="H128" s="67"/>
    </row>
    <row r="129" spans="2:8" ht="12.75">
      <c r="B129" s="66" t="s">
        <v>78</v>
      </c>
      <c r="C129" s="46" t="s">
        <v>78</v>
      </c>
      <c r="D129" s="261" t="s">
        <v>78</v>
      </c>
      <c r="E129" s="67" t="s">
        <v>78</v>
      </c>
      <c r="F129" s="67"/>
      <c r="G129" s="67"/>
      <c r="H129" s="67"/>
    </row>
    <row r="130" spans="1:8" ht="12.75">
      <c r="A130" s="22" t="s">
        <v>78</v>
      </c>
      <c r="B130" s="66" t="s">
        <v>78</v>
      </c>
      <c r="C130" s="46" t="s">
        <v>78</v>
      </c>
      <c r="D130" s="261"/>
      <c r="E130" s="54" t="s">
        <v>78</v>
      </c>
      <c r="F130" s="67" t="s">
        <v>78</v>
      </c>
      <c r="G130" s="67"/>
      <c r="H130" s="67"/>
    </row>
    <row r="131" spans="2:8" ht="12.75">
      <c r="B131" s="66" t="s">
        <v>78</v>
      </c>
      <c r="C131" s="46" t="s">
        <v>78</v>
      </c>
      <c r="D131" s="174"/>
      <c r="E131" s="175" t="s">
        <v>78</v>
      </c>
      <c r="F131" s="67" t="s">
        <v>78</v>
      </c>
      <c r="G131" s="67"/>
      <c r="H131" s="67"/>
    </row>
    <row r="132" spans="1:8" ht="12.75">
      <c r="A132" s="22" t="s">
        <v>78</v>
      </c>
      <c r="B132" s="66" t="s">
        <v>78</v>
      </c>
      <c r="C132" s="46" t="s">
        <v>78</v>
      </c>
      <c r="D132" s="174"/>
      <c r="E132" s="67" t="s">
        <v>78</v>
      </c>
      <c r="F132" s="67" t="s">
        <v>78</v>
      </c>
      <c r="G132" s="67"/>
      <c r="H132" s="67"/>
    </row>
    <row r="133" spans="2:8" ht="12.75">
      <c r="B133" s="66" t="s">
        <v>78</v>
      </c>
      <c r="C133" s="46" t="s">
        <v>78</v>
      </c>
      <c r="D133" s="261" t="s">
        <v>78</v>
      </c>
      <c r="E133" s="67" t="s">
        <v>78</v>
      </c>
      <c r="F133" s="67"/>
      <c r="G133" s="67"/>
      <c r="H133" s="67"/>
    </row>
    <row r="134" spans="1:8" ht="12.75">
      <c r="A134" s="22" t="s">
        <v>78</v>
      </c>
      <c r="B134" s="66" t="s">
        <v>78</v>
      </c>
      <c r="C134" s="46" t="s">
        <v>78</v>
      </c>
      <c r="D134" s="261"/>
      <c r="E134" s="67" t="s">
        <v>78</v>
      </c>
      <c r="F134" s="67"/>
      <c r="G134" s="67"/>
      <c r="H134" s="67"/>
    </row>
    <row r="135" spans="1:9" ht="25.5">
      <c r="A135" s="262" t="s">
        <v>78</v>
      </c>
      <c r="B135" s="262"/>
      <c r="C135" s="262"/>
      <c r="D135" s="262"/>
      <c r="E135" s="262"/>
      <c r="F135" s="262"/>
      <c r="G135" s="262"/>
      <c r="H135" s="262"/>
      <c r="I135" s="177"/>
    </row>
    <row r="136" spans="2:8" ht="18.75">
      <c r="B136" s="170"/>
      <c r="D136" s="192" t="s">
        <v>78</v>
      </c>
      <c r="E136" s="192"/>
      <c r="F136" s="192"/>
      <c r="H136" s="120" t="s">
        <v>78</v>
      </c>
    </row>
    <row r="137" spans="2:8" ht="18.75">
      <c r="B137" s="170"/>
      <c r="F137" s="171"/>
      <c r="H137" s="178" t="s">
        <v>78</v>
      </c>
    </row>
    <row r="138" spans="2:4" ht="13.5">
      <c r="B138" s="66" t="s">
        <v>78</v>
      </c>
      <c r="C138" s="25" t="s">
        <v>78</v>
      </c>
      <c r="D138" s="170"/>
    </row>
    <row r="139" spans="1:8" ht="12.75">
      <c r="A139" s="22" t="s">
        <v>78</v>
      </c>
      <c r="B139" s="66" t="s">
        <v>78</v>
      </c>
      <c r="C139" s="46" t="s">
        <v>78</v>
      </c>
      <c r="D139" s="68"/>
      <c r="E139" s="67" t="s">
        <v>78</v>
      </c>
      <c r="F139" s="67"/>
      <c r="G139" s="67"/>
      <c r="H139" s="67"/>
    </row>
    <row r="140" spans="2:8" ht="12.75">
      <c r="B140" s="66" t="s">
        <v>78</v>
      </c>
      <c r="C140" s="46" t="s">
        <v>78</v>
      </c>
      <c r="D140" s="263" t="s">
        <v>78</v>
      </c>
      <c r="E140" s="67" t="s">
        <v>78</v>
      </c>
      <c r="F140" s="67"/>
      <c r="G140" s="67"/>
      <c r="H140" s="67"/>
    </row>
    <row r="141" spans="1:8" ht="12.75">
      <c r="A141" s="22" t="s">
        <v>78</v>
      </c>
      <c r="B141" s="66" t="s">
        <v>78</v>
      </c>
      <c r="C141" s="46" t="s">
        <v>78</v>
      </c>
      <c r="D141" s="263"/>
      <c r="E141" s="159" t="s">
        <v>78</v>
      </c>
      <c r="F141" s="67" t="s">
        <v>78</v>
      </c>
      <c r="G141" s="67"/>
      <c r="H141" s="67"/>
    </row>
    <row r="142" spans="2:8" ht="12.75">
      <c r="B142" s="66" t="s">
        <v>78</v>
      </c>
      <c r="C142" s="46" t="s">
        <v>78</v>
      </c>
      <c r="D142" s="174"/>
      <c r="E142" s="60" t="s">
        <v>78</v>
      </c>
      <c r="F142" s="67" t="s">
        <v>78</v>
      </c>
      <c r="G142" s="67"/>
      <c r="H142" s="67"/>
    </row>
    <row r="143" spans="1:8" ht="12.75">
      <c r="A143" s="22" t="s">
        <v>78</v>
      </c>
      <c r="B143" s="66" t="s">
        <v>78</v>
      </c>
      <c r="C143" s="46" t="s">
        <v>78</v>
      </c>
      <c r="D143" s="174"/>
      <c r="E143" s="159" t="s">
        <v>78</v>
      </c>
      <c r="F143" s="159" t="s">
        <v>78</v>
      </c>
      <c r="G143" s="67"/>
      <c r="H143" s="67"/>
    </row>
    <row r="144" spans="2:8" ht="12.75">
      <c r="B144" s="66" t="s">
        <v>78</v>
      </c>
      <c r="C144" s="46" t="s">
        <v>78</v>
      </c>
      <c r="D144" s="261" t="s">
        <v>78</v>
      </c>
      <c r="E144" s="159" t="s">
        <v>78</v>
      </c>
      <c r="F144" s="159"/>
      <c r="G144" s="67"/>
      <c r="H144" s="67"/>
    </row>
    <row r="145" spans="1:8" ht="12.75">
      <c r="A145" s="22" t="s">
        <v>78</v>
      </c>
      <c r="B145" s="66" t="s">
        <v>78</v>
      </c>
      <c r="C145" s="46" t="s">
        <v>78</v>
      </c>
      <c r="D145" s="261"/>
      <c r="E145" s="159" t="s">
        <v>78</v>
      </c>
      <c r="F145" s="67"/>
      <c r="G145" s="67" t="s">
        <v>78</v>
      </c>
      <c r="H145" s="67"/>
    </row>
    <row r="146" spans="2:8" ht="12.75">
      <c r="B146" s="66" t="s">
        <v>78</v>
      </c>
      <c r="C146" s="46" t="s">
        <v>78</v>
      </c>
      <c r="D146" s="174" t="s">
        <v>78</v>
      </c>
      <c r="E146" s="159" t="s">
        <v>78</v>
      </c>
      <c r="F146" s="261" t="s">
        <v>78</v>
      </c>
      <c r="G146" s="67" t="s">
        <v>78</v>
      </c>
      <c r="H146" s="67"/>
    </row>
    <row r="147" spans="1:8" ht="12.75">
      <c r="A147" s="22" t="s">
        <v>78</v>
      </c>
      <c r="B147" s="66" t="s">
        <v>78</v>
      </c>
      <c r="C147" s="46" t="s">
        <v>78</v>
      </c>
      <c r="D147" s="174"/>
      <c r="E147" s="159" t="s">
        <v>78</v>
      </c>
      <c r="F147" s="261"/>
      <c r="G147" s="67" t="s">
        <v>78</v>
      </c>
      <c r="H147" s="67"/>
    </row>
    <row r="148" spans="2:8" ht="12.75">
      <c r="B148" s="66" t="s">
        <v>78</v>
      </c>
      <c r="C148" s="46" t="s">
        <v>78</v>
      </c>
      <c r="D148" s="261" t="s">
        <v>78</v>
      </c>
      <c r="E148" s="159" t="s">
        <v>78</v>
      </c>
      <c r="F148" s="67"/>
      <c r="G148" s="67"/>
      <c r="H148" s="67"/>
    </row>
    <row r="149" spans="1:8" ht="12.75">
      <c r="A149" s="22" t="s">
        <v>78</v>
      </c>
      <c r="B149" s="66" t="s">
        <v>78</v>
      </c>
      <c r="C149" s="46" t="s">
        <v>78</v>
      </c>
      <c r="D149" s="261"/>
      <c r="E149" s="67" t="s">
        <v>78</v>
      </c>
      <c r="F149" s="67" t="s">
        <v>78</v>
      </c>
      <c r="G149" s="67"/>
      <c r="H149" s="67"/>
    </row>
    <row r="150" spans="2:8" ht="12.75">
      <c r="B150" s="66" t="s">
        <v>78</v>
      </c>
      <c r="C150" s="46" t="s">
        <v>78</v>
      </c>
      <c r="D150" s="174"/>
      <c r="E150" s="60" t="s">
        <v>78</v>
      </c>
      <c r="F150" s="67" t="s">
        <v>78</v>
      </c>
      <c r="G150" s="67"/>
      <c r="H150" s="67"/>
    </row>
    <row r="151" spans="1:8" ht="12.75">
      <c r="A151" s="22" t="s">
        <v>78</v>
      </c>
      <c r="B151" s="66"/>
      <c r="C151" s="46" t="s">
        <v>78</v>
      </c>
      <c r="D151" s="174"/>
      <c r="E151" s="67" t="s">
        <v>78</v>
      </c>
      <c r="F151" s="67" t="s">
        <v>78</v>
      </c>
      <c r="G151" s="67"/>
      <c r="H151" s="67"/>
    </row>
    <row r="152" spans="2:8" ht="12.75">
      <c r="B152" s="66" t="s">
        <v>78</v>
      </c>
      <c r="C152" s="46" t="s">
        <v>78</v>
      </c>
      <c r="D152" s="261" t="s">
        <v>78</v>
      </c>
      <c r="E152" s="67" t="s">
        <v>78</v>
      </c>
      <c r="F152" s="67"/>
      <c r="G152" s="67"/>
      <c r="H152" s="54"/>
    </row>
    <row r="153" spans="1:8" ht="12.75">
      <c r="A153" s="22" t="s">
        <v>78</v>
      </c>
      <c r="B153" s="66" t="s">
        <v>78</v>
      </c>
      <c r="C153" s="46" t="s">
        <v>78</v>
      </c>
      <c r="D153" s="261"/>
      <c r="E153" s="67" t="s">
        <v>78</v>
      </c>
      <c r="F153" s="67"/>
      <c r="G153" s="67"/>
      <c r="H153" s="54" t="s">
        <v>78</v>
      </c>
    </row>
    <row r="154" spans="2:8" ht="12.75">
      <c r="B154" s="66" t="s">
        <v>78</v>
      </c>
      <c r="C154" s="46" t="s">
        <v>78</v>
      </c>
      <c r="D154" s="174"/>
      <c r="E154" s="67"/>
      <c r="F154" s="67"/>
      <c r="G154" s="261" t="s">
        <v>78</v>
      </c>
      <c r="H154" s="54" t="s">
        <v>78</v>
      </c>
    </row>
    <row r="155" spans="1:8" ht="12.75">
      <c r="A155" s="22" t="s">
        <v>78</v>
      </c>
      <c r="B155" s="66" t="s">
        <v>78</v>
      </c>
      <c r="C155" s="46" t="s">
        <v>78</v>
      </c>
      <c r="D155" s="174"/>
      <c r="E155" s="67" t="s">
        <v>78</v>
      </c>
      <c r="F155" s="67"/>
      <c r="G155" s="261"/>
      <c r="H155" s="54" t="s">
        <v>78</v>
      </c>
    </row>
    <row r="156" spans="2:8" ht="12.75">
      <c r="B156" s="66" t="s">
        <v>78</v>
      </c>
      <c r="C156" s="46" t="s">
        <v>78</v>
      </c>
      <c r="D156" s="261" t="s">
        <v>78</v>
      </c>
      <c r="E156" s="67" t="s">
        <v>78</v>
      </c>
      <c r="F156" s="67"/>
      <c r="G156" s="67"/>
      <c r="H156" s="67"/>
    </row>
    <row r="157" spans="1:8" ht="12.75">
      <c r="A157" s="22" t="s">
        <v>78</v>
      </c>
      <c r="B157" s="66" t="s">
        <v>78</v>
      </c>
      <c r="C157" s="46" t="s">
        <v>78</v>
      </c>
      <c r="D157" s="261"/>
      <c r="E157" s="67" t="s">
        <v>78</v>
      </c>
      <c r="F157" s="67" t="s">
        <v>78</v>
      </c>
      <c r="G157" s="67"/>
      <c r="H157" s="67"/>
    </row>
    <row r="158" spans="2:8" ht="12.75">
      <c r="B158" s="66" t="s">
        <v>78</v>
      </c>
      <c r="C158" s="46" t="s">
        <v>78</v>
      </c>
      <c r="D158" s="174"/>
      <c r="E158" s="60" t="s">
        <v>78</v>
      </c>
      <c r="F158" s="67" t="s">
        <v>78</v>
      </c>
      <c r="G158" s="67"/>
      <c r="H158" s="67"/>
    </row>
    <row r="159" spans="1:8" ht="12.75">
      <c r="A159" s="22" t="s">
        <v>78</v>
      </c>
      <c r="B159" s="66" t="s">
        <v>78</v>
      </c>
      <c r="C159" s="46" t="s">
        <v>78</v>
      </c>
      <c r="D159" s="174"/>
      <c r="E159" s="67" t="s">
        <v>78</v>
      </c>
      <c r="F159" s="67" t="s">
        <v>78</v>
      </c>
      <c r="G159" s="67"/>
      <c r="H159" s="67"/>
    </row>
    <row r="160" spans="2:8" ht="12.75">
      <c r="B160" s="66" t="s">
        <v>78</v>
      </c>
      <c r="C160" s="46" t="s">
        <v>78</v>
      </c>
      <c r="D160" s="261" t="s">
        <v>78</v>
      </c>
      <c r="E160" s="67" t="s">
        <v>78</v>
      </c>
      <c r="F160" s="67"/>
      <c r="G160" s="67"/>
      <c r="H160" s="67"/>
    </row>
    <row r="161" spans="1:8" ht="12.75">
      <c r="A161" s="22" t="s">
        <v>78</v>
      </c>
      <c r="B161" s="66" t="s">
        <v>78</v>
      </c>
      <c r="C161" s="46" t="s">
        <v>78</v>
      </c>
      <c r="D161" s="261"/>
      <c r="E161" s="67" t="s">
        <v>78</v>
      </c>
      <c r="F161" s="67"/>
      <c r="G161" s="67" t="s">
        <v>78</v>
      </c>
      <c r="H161" s="67"/>
    </row>
    <row r="162" spans="2:8" ht="12.75">
      <c r="B162" s="66" t="s">
        <v>78</v>
      </c>
      <c r="C162" s="46" t="s">
        <v>78</v>
      </c>
      <c r="D162" s="174"/>
      <c r="E162" s="67"/>
      <c r="F162" s="261" t="s">
        <v>78</v>
      </c>
      <c r="G162" s="67" t="s">
        <v>78</v>
      </c>
      <c r="H162" s="67"/>
    </row>
    <row r="163" spans="1:8" ht="12.75">
      <c r="A163" s="22" t="s">
        <v>78</v>
      </c>
      <c r="B163" s="66" t="s">
        <v>78</v>
      </c>
      <c r="C163" s="46" t="s">
        <v>78</v>
      </c>
      <c r="D163" s="174"/>
      <c r="E163" s="67" t="s">
        <v>78</v>
      </c>
      <c r="F163" s="261"/>
      <c r="G163" s="67" t="s">
        <v>78</v>
      </c>
      <c r="H163" s="67"/>
    </row>
    <row r="164" spans="2:8" ht="12.75">
      <c r="B164" s="66" t="s">
        <v>78</v>
      </c>
      <c r="C164" s="46" t="s">
        <v>78</v>
      </c>
      <c r="D164" s="261" t="s">
        <v>78</v>
      </c>
      <c r="E164" s="67" t="s">
        <v>78</v>
      </c>
      <c r="F164" s="67"/>
      <c r="G164" s="67"/>
      <c r="H164" s="67"/>
    </row>
    <row r="165" spans="1:8" ht="12.75">
      <c r="A165" s="22" t="s">
        <v>78</v>
      </c>
      <c r="B165" s="66" t="s">
        <v>78</v>
      </c>
      <c r="C165" s="46" t="s">
        <v>78</v>
      </c>
      <c r="D165" s="261"/>
      <c r="E165" s="67" t="s">
        <v>78</v>
      </c>
      <c r="F165" s="67" t="s">
        <v>78</v>
      </c>
      <c r="G165" s="67"/>
      <c r="H165" s="67"/>
    </row>
    <row r="166" spans="2:8" ht="12.75">
      <c r="B166" s="66" t="s">
        <v>78</v>
      </c>
      <c r="C166" s="46" t="s">
        <v>78</v>
      </c>
      <c r="D166" s="174"/>
      <c r="E166" s="60" t="s">
        <v>78</v>
      </c>
      <c r="F166" s="67" t="s">
        <v>78</v>
      </c>
      <c r="G166" s="67"/>
      <c r="H166" s="67"/>
    </row>
    <row r="167" spans="1:8" ht="12.75">
      <c r="A167" s="22" t="s">
        <v>78</v>
      </c>
      <c r="B167" s="66" t="s">
        <v>78</v>
      </c>
      <c r="C167" s="46" t="s">
        <v>78</v>
      </c>
      <c r="D167" s="174"/>
      <c r="E167" s="67" t="s">
        <v>78</v>
      </c>
      <c r="F167" s="67" t="s">
        <v>78</v>
      </c>
      <c r="G167" s="67"/>
      <c r="H167" s="67"/>
    </row>
    <row r="168" spans="2:8" ht="12.75">
      <c r="B168" s="66" t="s">
        <v>78</v>
      </c>
      <c r="C168" s="46" t="s">
        <v>78</v>
      </c>
      <c r="D168" s="261" t="s">
        <v>78</v>
      </c>
      <c r="E168" s="67" t="s">
        <v>78</v>
      </c>
      <c r="F168" s="67"/>
      <c r="G168" s="67"/>
      <c r="H168" s="67"/>
    </row>
    <row r="169" spans="1:8" ht="12.75">
      <c r="A169" s="22" t="s">
        <v>78</v>
      </c>
      <c r="B169" s="66" t="s">
        <v>78</v>
      </c>
      <c r="C169" s="46" t="s">
        <v>78</v>
      </c>
      <c r="D169" s="261"/>
      <c r="E169" s="67" t="s">
        <v>78</v>
      </c>
      <c r="F169" s="67"/>
      <c r="G169" s="67"/>
      <c r="H169" s="161" t="s">
        <v>78</v>
      </c>
    </row>
    <row r="170" spans="2:8" ht="12.75">
      <c r="B170" s="66" t="s">
        <v>78</v>
      </c>
      <c r="C170" s="46" t="s">
        <v>78</v>
      </c>
      <c r="D170" s="174"/>
      <c r="E170" s="67"/>
      <c r="F170" s="67"/>
      <c r="G170" s="261" t="s">
        <v>78</v>
      </c>
      <c r="H170" s="176" t="s">
        <v>78</v>
      </c>
    </row>
    <row r="171" spans="1:8" ht="12.75">
      <c r="A171" s="22" t="s">
        <v>78</v>
      </c>
      <c r="B171" s="66" t="s">
        <v>78</v>
      </c>
      <c r="C171" s="46" t="s">
        <v>78</v>
      </c>
      <c r="D171" s="174"/>
      <c r="E171" s="67" t="s">
        <v>78</v>
      </c>
      <c r="F171" s="67"/>
      <c r="G171" s="261"/>
      <c r="H171" s="67" t="s">
        <v>78</v>
      </c>
    </row>
    <row r="172" spans="2:8" ht="12.75">
      <c r="B172" s="66" t="s">
        <v>78</v>
      </c>
      <c r="C172" s="46" t="s">
        <v>78</v>
      </c>
      <c r="D172" s="261" t="s">
        <v>78</v>
      </c>
      <c r="E172" s="67" t="s">
        <v>78</v>
      </c>
      <c r="F172" s="67"/>
      <c r="G172" s="67"/>
      <c r="H172" s="67"/>
    </row>
    <row r="173" spans="1:8" ht="12.75">
      <c r="A173" s="22" t="s">
        <v>78</v>
      </c>
      <c r="B173" s="66" t="s">
        <v>78</v>
      </c>
      <c r="C173" s="46" t="s">
        <v>78</v>
      </c>
      <c r="D173" s="261"/>
      <c r="E173" s="67" t="s">
        <v>78</v>
      </c>
      <c r="F173" s="67" t="s">
        <v>78</v>
      </c>
      <c r="G173" s="67"/>
      <c r="H173" s="67"/>
    </row>
    <row r="174" spans="2:8" ht="12.75">
      <c r="B174" s="66" t="s">
        <v>78</v>
      </c>
      <c r="C174" s="46" t="s">
        <v>78</v>
      </c>
      <c r="D174" s="174"/>
      <c r="E174" s="60" t="s">
        <v>78</v>
      </c>
      <c r="F174" s="67" t="s">
        <v>78</v>
      </c>
      <c r="G174" s="67"/>
      <c r="H174" s="67"/>
    </row>
    <row r="175" spans="1:8" ht="12.75">
      <c r="A175" s="22" t="s">
        <v>78</v>
      </c>
      <c r="B175" s="66" t="s">
        <v>78</v>
      </c>
      <c r="C175" s="46" t="s">
        <v>78</v>
      </c>
      <c r="D175" s="174"/>
      <c r="E175" s="67" t="s">
        <v>78</v>
      </c>
      <c r="F175" s="67" t="s">
        <v>78</v>
      </c>
      <c r="G175" s="67"/>
      <c r="H175" s="67"/>
    </row>
    <row r="176" spans="2:8" ht="12.75">
      <c r="B176" s="66" t="s">
        <v>78</v>
      </c>
      <c r="C176" s="46" t="s">
        <v>78</v>
      </c>
      <c r="D176" s="261" t="s">
        <v>78</v>
      </c>
      <c r="E176" s="67" t="s">
        <v>78</v>
      </c>
      <c r="F176" s="67"/>
      <c r="G176" s="67"/>
      <c r="H176" s="67"/>
    </row>
    <row r="177" spans="1:8" ht="12.75">
      <c r="A177" s="22" t="s">
        <v>78</v>
      </c>
      <c r="B177" s="66" t="s">
        <v>78</v>
      </c>
      <c r="C177" s="46" t="s">
        <v>78</v>
      </c>
      <c r="D177" s="261"/>
      <c r="E177" s="67" t="s">
        <v>78</v>
      </c>
      <c r="F177" s="67"/>
      <c r="G177" s="67" t="s">
        <v>78</v>
      </c>
      <c r="H177" s="67"/>
    </row>
    <row r="178" spans="2:8" ht="12.75">
      <c r="B178" s="66" t="s">
        <v>78</v>
      </c>
      <c r="C178" s="46" t="s">
        <v>78</v>
      </c>
      <c r="D178" s="174"/>
      <c r="E178" s="67"/>
      <c r="F178" s="261" t="s">
        <v>78</v>
      </c>
      <c r="G178" s="67" t="s">
        <v>78</v>
      </c>
      <c r="H178" s="67"/>
    </row>
    <row r="179" spans="1:8" ht="12.75">
      <c r="A179" s="22" t="s">
        <v>78</v>
      </c>
      <c r="B179" s="66" t="s">
        <v>78</v>
      </c>
      <c r="C179" s="46" t="s">
        <v>78</v>
      </c>
      <c r="D179" s="174"/>
      <c r="E179" s="67" t="s">
        <v>78</v>
      </c>
      <c r="F179" s="261"/>
      <c r="G179" s="67" t="s">
        <v>78</v>
      </c>
      <c r="H179" s="67"/>
    </row>
    <row r="180" spans="2:8" ht="12.75">
      <c r="B180" s="66" t="s">
        <v>78</v>
      </c>
      <c r="C180" s="46" t="s">
        <v>78</v>
      </c>
      <c r="D180" s="261" t="s">
        <v>78</v>
      </c>
      <c r="E180" s="67" t="s">
        <v>78</v>
      </c>
      <c r="F180" s="67"/>
      <c r="G180" s="67"/>
      <c r="H180" s="67"/>
    </row>
    <row r="181" spans="1:8" ht="12.75">
      <c r="A181" s="22" t="s">
        <v>78</v>
      </c>
      <c r="B181" s="66" t="s">
        <v>78</v>
      </c>
      <c r="C181" s="46" t="s">
        <v>78</v>
      </c>
      <c r="D181" s="261"/>
      <c r="E181" s="67" t="s">
        <v>78</v>
      </c>
      <c r="F181" s="67" t="s">
        <v>78</v>
      </c>
      <c r="G181" s="67"/>
      <c r="H181" s="67"/>
    </row>
    <row r="182" spans="2:8" ht="12.75">
      <c r="B182" s="66" t="s">
        <v>78</v>
      </c>
      <c r="C182" s="46" t="s">
        <v>78</v>
      </c>
      <c r="D182" s="174"/>
      <c r="E182" s="60" t="s">
        <v>78</v>
      </c>
      <c r="F182" s="67" t="s">
        <v>78</v>
      </c>
      <c r="G182" s="67"/>
      <c r="H182" s="67"/>
    </row>
    <row r="183" spans="1:8" ht="12.75">
      <c r="A183" s="22" t="s">
        <v>78</v>
      </c>
      <c r="B183" s="66" t="s">
        <v>78</v>
      </c>
      <c r="C183" s="46" t="s">
        <v>78</v>
      </c>
      <c r="D183" s="174"/>
      <c r="E183" s="67" t="s">
        <v>78</v>
      </c>
      <c r="F183" s="67" t="s">
        <v>78</v>
      </c>
      <c r="G183" s="67"/>
      <c r="H183" s="67"/>
    </row>
    <row r="184" spans="2:8" ht="12.75">
      <c r="B184" s="66" t="s">
        <v>78</v>
      </c>
      <c r="C184" s="46" t="s">
        <v>78</v>
      </c>
      <c r="D184" s="261" t="s">
        <v>78</v>
      </c>
      <c r="E184" s="67" t="s">
        <v>78</v>
      </c>
      <c r="F184" s="67"/>
      <c r="G184" s="67"/>
      <c r="H184" s="67"/>
    </row>
    <row r="185" spans="1:8" ht="12.75">
      <c r="A185" s="22" t="s">
        <v>78</v>
      </c>
      <c r="B185" s="66" t="s">
        <v>78</v>
      </c>
      <c r="C185" s="46" t="s">
        <v>78</v>
      </c>
      <c r="D185" s="261"/>
      <c r="E185" s="67" t="s">
        <v>78</v>
      </c>
      <c r="F185" s="67"/>
      <c r="G185" s="67"/>
      <c r="H185" s="54" t="s">
        <v>78</v>
      </c>
    </row>
    <row r="186" spans="2:8" ht="12.75">
      <c r="B186" s="66" t="s">
        <v>78</v>
      </c>
      <c r="C186" s="46" t="s">
        <v>78</v>
      </c>
      <c r="D186" s="174"/>
      <c r="E186" s="67"/>
      <c r="F186" s="67"/>
      <c r="G186" s="261" t="s">
        <v>78</v>
      </c>
      <c r="H186" s="54" t="s">
        <v>78</v>
      </c>
    </row>
    <row r="187" spans="1:8" ht="12.75">
      <c r="A187" s="22" t="s">
        <v>78</v>
      </c>
      <c r="B187" s="66" t="s">
        <v>78</v>
      </c>
      <c r="C187" s="46" t="s">
        <v>78</v>
      </c>
      <c r="D187" s="174"/>
      <c r="E187" s="67" t="s">
        <v>78</v>
      </c>
      <c r="F187" s="67"/>
      <c r="G187" s="261"/>
      <c r="H187" s="67" t="s">
        <v>78</v>
      </c>
    </row>
    <row r="188" spans="2:8" ht="12.75">
      <c r="B188" s="66" t="s">
        <v>78</v>
      </c>
      <c r="C188" s="46" t="s">
        <v>78</v>
      </c>
      <c r="D188" s="261" t="s">
        <v>78</v>
      </c>
      <c r="E188" s="67" t="s">
        <v>78</v>
      </c>
      <c r="F188" s="67"/>
      <c r="G188" s="67"/>
      <c r="H188" s="67"/>
    </row>
    <row r="189" spans="1:8" ht="12.75">
      <c r="A189" s="22" t="s">
        <v>78</v>
      </c>
      <c r="B189" s="66" t="s">
        <v>78</v>
      </c>
      <c r="C189" s="46" t="s">
        <v>78</v>
      </c>
      <c r="D189" s="261"/>
      <c r="E189" s="67" t="s">
        <v>78</v>
      </c>
      <c r="F189" s="67" t="s">
        <v>78</v>
      </c>
      <c r="G189" s="67"/>
      <c r="H189" s="67"/>
    </row>
    <row r="190" spans="2:8" ht="12.75">
      <c r="B190" s="66" t="s">
        <v>78</v>
      </c>
      <c r="C190" s="46" t="s">
        <v>78</v>
      </c>
      <c r="D190" s="174"/>
      <c r="E190" s="60" t="s">
        <v>78</v>
      </c>
      <c r="F190" s="67" t="s">
        <v>78</v>
      </c>
      <c r="G190" s="67"/>
      <c r="H190" s="67"/>
    </row>
    <row r="191" spans="1:8" ht="12.75">
      <c r="A191" s="22" t="s">
        <v>78</v>
      </c>
      <c r="B191" s="66" t="s">
        <v>78</v>
      </c>
      <c r="C191" s="46" t="s">
        <v>78</v>
      </c>
      <c r="D191" s="174"/>
      <c r="E191" s="67" t="s">
        <v>78</v>
      </c>
      <c r="F191" s="67" t="s">
        <v>78</v>
      </c>
      <c r="G191" s="67"/>
      <c r="H191" s="67"/>
    </row>
    <row r="192" spans="2:8" ht="12.75">
      <c r="B192" s="66" t="s">
        <v>78</v>
      </c>
      <c r="C192" s="46" t="s">
        <v>78</v>
      </c>
      <c r="D192" s="261" t="s">
        <v>78</v>
      </c>
      <c r="E192" s="67" t="s">
        <v>78</v>
      </c>
      <c r="F192" s="67"/>
      <c r="G192" s="67"/>
      <c r="H192" s="67"/>
    </row>
    <row r="193" spans="1:8" ht="12.75">
      <c r="A193" s="22" t="s">
        <v>78</v>
      </c>
      <c r="B193" s="66" t="s">
        <v>78</v>
      </c>
      <c r="C193" s="46" t="s">
        <v>78</v>
      </c>
      <c r="D193" s="261"/>
      <c r="E193" s="67" t="s">
        <v>78</v>
      </c>
      <c r="F193" s="67"/>
      <c r="G193" s="67" t="s">
        <v>78</v>
      </c>
      <c r="H193" s="67"/>
    </row>
    <row r="194" spans="2:8" ht="12.75">
      <c r="B194" s="66" t="s">
        <v>78</v>
      </c>
      <c r="C194" s="46" t="s">
        <v>78</v>
      </c>
      <c r="D194" s="174"/>
      <c r="E194" s="67"/>
      <c r="F194" s="261" t="s">
        <v>78</v>
      </c>
      <c r="G194" s="67" t="s">
        <v>78</v>
      </c>
      <c r="H194" s="67"/>
    </row>
    <row r="195" spans="1:8" ht="12.75">
      <c r="A195" s="22" t="s">
        <v>78</v>
      </c>
      <c r="B195" s="66" t="s">
        <v>78</v>
      </c>
      <c r="C195" s="46" t="s">
        <v>78</v>
      </c>
      <c r="D195" s="174"/>
      <c r="E195" s="67" t="s">
        <v>78</v>
      </c>
      <c r="F195" s="261"/>
      <c r="G195" s="67" t="s">
        <v>78</v>
      </c>
      <c r="H195" s="67"/>
    </row>
    <row r="196" spans="2:8" ht="12.75">
      <c r="B196" s="66" t="s">
        <v>78</v>
      </c>
      <c r="C196" s="46" t="s">
        <v>78</v>
      </c>
      <c r="D196" s="261" t="s">
        <v>78</v>
      </c>
      <c r="E196" s="67" t="s">
        <v>78</v>
      </c>
      <c r="F196" s="67"/>
      <c r="G196" s="67"/>
      <c r="H196" s="67"/>
    </row>
    <row r="197" spans="1:8" ht="12.75">
      <c r="A197" s="22" t="s">
        <v>78</v>
      </c>
      <c r="B197" s="66" t="s">
        <v>78</v>
      </c>
      <c r="C197" s="46" t="s">
        <v>78</v>
      </c>
      <c r="D197" s="261"/>
      <c r="E197" s="67" t="s">
        <v>78</v>
      </c>
      <c r="F197" s="67" t="s">
        <v>78</v>
      </c>
      <c r="G197" s="67"/>
      <c r="H197" s="67"/>
    </row>
    <row r="198" spans="2:8" ht="12.75">
      <c r="B198" s="66" t="s">
        <v>78</v>
      </c>
      <c r="C198" s="46" t="s">
        <v>78</v>
      </c>
      <c r="D198" s="174"/>
      <c r="E198" s="60" t="s">
        <v>78</v>
      </c>
      <c r="F198" s="67" t="s">
        <v>78</v>
      </c>
      <c r="G198" s="67"/>
      <c r="H198" s="67"/>
    </row>
    <row r="199" spans="1:8" ht="12.75">
      <c r="A199" s="22" t="s">
        <v>78</v>
      </c>
      <c r="B199" s="66" t="s">
        <v>78</v>
      </c>
      <c r="C199" s="46" t="s">
        <v>78</v>
      </c>
      <c r="D199" s="174"/>
      <c r="E199" s="67" t="s">
        <v>78</v>
      </c>
      <c r="F199" s="67" t="s">
        <v>78</v>
      </c>
      <c r="G199" s="67"/>
      <c r="H199" s="67"/>
    </row>
    <row r="200" spans="2:8" ht="12.75">
      <c r="B200" s="66" t="s">
        <v>78</v>
      </c>
      <c r="C200" s="46" t="s">
        <v>78</v>
      </c>
      <c r="D200" s="261" t="s">
        <v>78</v>
      </c>
      <c r="E200" s="67" t="s">
        <v>78</v>
      </c>
      <c r="F200" s="67"/>
      <c r="G200" s="67"/>
      <c r="H200" s="67"/>
    </row>
    <row r="201" spans="1:8" ht="12.75">
      <c r="A201" s="22" t="s">
        <v>78</v>
      </c>
      <c r="B201" s="66" t="s">
        <v>78</v>
      </c>
      <c r="C201" s="46" t="s">
        <v>78</v>
      </c>
      <c r="D201" s="261"/>
      <c r="E201" s="67" t="s">
        <v>78</v>
      </c>
      <c r="F201" s="67"/>
      <c r="G201" s="67"/>
      <c r="H201" s="67"/>
    </row>
    <row r="202" spans="1:9" ht="25.5">
      <c r="A202" s="262" t="s">
        <v>78</v>
      </c>
      <c r="B202" s="262"/>
      <c r="C202" s="262"/>
      <c r="D202" s="262"/>
      <c r="E202" s="262"/>
      <c r="F202" s="262"/>
      <c r="G202" s="262"/>
      <c r="H202" s="262"/>
      <c r="I202" s="177"/>
    </row>
    <row r="203" spans="2:8" ht="18.75">
      <c r="B203" s="170"/>
      <c r="D203" s="192" t="s">
        <v>78</v>
      </c>
      <c r="E203" s="192"/>
      <c r="F203" s="192"/>
      <c r="H203" s="120" t="s">
        <v>78</v>
      </c>
    </row>
    <row r="204" spans="2:8" ht="18.75">
      <c r="B204" s="170"/>
      <c r="F204" s="171"/>
      <c r="H204" s="178" t="s">
        <v>78</v>
      </c>
    </row>
    <row r="205" spans="2:4" ht="13.5">
      <c r="B205" s="66" t="s">
        <v>78</v>
      </c>
      <c r="C205" s="46" t="s">
        <v>78</v>
      </c>
      <c r="D205" s="170"/>
    </row>
    <row r="206" spans="1:8" ht="12.75">
      <c r="A206" s="22" t="s">
        <v>78</v>
      </c>
      <c r="B206" s="66" t="s">
        <v>78</v>
      </c>
      <c r="C206" s="46" t="s">
        <v>78</v>
      </c>
      <c r="D206" s="68"/>
      <c r="E206" s="67" t="s">
        <v>78</v>
      </c>
      <c r="F206" s="67"/>
      <c r="G206" s="67"/>
      <c r="H206" s="67"/>
    </row>
    <row r="207" spans="2:8" ht="12.75">
      <c r="B207" s="66" t="s">
        <v>78</v>
      </c>
      <c r="C207" s="46" t="s">
        <v>78</v>
      </c>
      <c r="D207" s="261" t="s">
        <v>78</v>
      </c>
      <c r="E207" s="67" t="s">
        <v>78</v>
      </c>
      <c r="F207" s="67"/>
      <c r="G207" s="67"/>
      <c r="H207" s="67"/>
    </row>
    <row r="208" spans="1:8" ht="12.75">
      <c r="A208" s="22" t="s">
        <v>78</v>
      </c>
      <c r="B208" s="66" t="s">
        <v>78</v>
      </c>
      <c r="C208" s="46" t="s">
        <v>78</v>
      </c>
      <c r="D208" s="261"/>
      <c r="E208" s="67" t="s">
        <v>78</v>
      </c>
      <c r="F208" s="67" t="s">
        <v>78</v>
      </c>
      <c r="G208" s="67"/>
      <c r="H208" s="67"/>
    </row>
    <row r="209" spans="2:8" ht="12.75">
      <c r="B209" s="66" t="s">
        <v>78</v>
      </c>
      <c r="C209" s="46" t="s">
        <v>78</v>
      </c>
      <c r="D209" s="174"/>
      <c r="E209" s="60" t="s">
        <v>78</v>
      </c>
      <c r="F209" s="67" t="s">
        <v>78</v>
      </c>
      <c r="G209" s="67"/>
      <c r="H209" s="67"/>
    </row>
    <row r="210" spans="1:8" ht="12.75">
      <c r="A210" s="22" t="s">
        <v>78</v>
      </c>
      <c r="B210" s="66" t="s">
        <v>78</v>
      </c>
      <c r="C210" s="46" t="s">
        <v>78</v>
      </c>
      <c r="D210" s="174"/>
      <c r="E210" s="67" t="s">
        <v>78</v>
      </c>
      <c r="F210" s="67" t="s">
        <v>78</v>
      </c>
      <c r="G210" s="67"/>
      <c r="H210" s="67"/>
    </row>
    <row r="211" spans="2:8" ht="12.75">
      <c r="B211" s="66" t="s">
        <v>78</v>
      </c>
      <c r="C211" s="46" t="s">
        <v>78</v>
      </c>
      <c r="D211" s="261" t="s">
        <v>78</v>
      </c>
      <c r="E211" s="67" t="s">
        <v>78</v>
      </c>
      <c r="F211" s="67"/>
      <c r="G211" s="67"/>
      <c r="H211" s="67"/>
    </row>
    <row r="212" spans="1:8" ht="12.75">
      <c r="A212" s="22" t="s">
        <v>78</v>
      </c>
      <c r="B212" s="66" t="s">
        <v>78</v>
      </c>
      <c r="C212" s="46" t="s">
        <v>78</v>
      </c>
      <c r="D212" s="261"/>
      <c r="E212" s="67" t="s">
        <v>78</v>
      </c>
      <c r="F212" s="67"/>
      <c r="G212" s="67" t="s">
        <v>78</v>
      </c>
      <c r="H212" s="67"/>
    </row>
    <row r="213" spans="2:8" ht="12.75">
      <c r="B213" s="66" t="s">
        <v>78</v>
      </c>
      <c r="C213" s="46" t="s">
        <v>78</v>
      </c>
      <c r="D213" s="174"/>
      <c r="E213" s="67"/>
      <c r="F213" s="261" t="s">
        <v>78</v>
      </c>
      <c r="G213" s="67" t="s">
        <v>78</v>
      </c>
      <c r="H213" s="67"/>
    </row>
    <row r="214" spans="1:8" ht="12.75">
      <c r="A214" s="22" t="s">
        <v>78</v>
      </c>
      <c r="B214" s="66" t="s">
        <v>78</v>
      </c>
      <c r="C214" s="46" t="s">
        <v>78</v>
      </c>
      <c r="D214" s="174"/>
      <c r="E214" s="67" t="s">
        <v>78</v>
      </c>
      <c r="F214" s="261"/>
      <c r="G214" s="67" t="s">
        <v>78</v>
      </c>
      <c r="H214" s="67"/>
    </row>
    <row r="215" spans="2:8" ht="12.75">
      <c r="B215" s="66" t="s">
        <v>78</v>
      </c>
      <c r="C215" s="46" t="s">
        <v>78</v>
      </c>
      <c r="D215" s="261" t="s">
        <v>78</v>
      </c>
      <c r="E215" s="67" t="s">
        <v>78</v>
      </c>
      <c r="F215" s="67"/>
      <c r="G215" s="67"/>
      <c r="H215" s="67"/>
    </row>
    <row r="216" spans="1:8" ht="12.75">
      <c r="A216" s="22" t="s">
        <v>78</v>
      </c>
      <c r="B216" s="66" t="s">
        <v>78</v>
      </c>
      <c r="C216" s="46" t="s">
        <v>78</v>
      </c>
      <c r="D216" s="261"/>
      <c r="E216" s="67" t="s">
        <v>78</v>
      </c>
      <c r="F216" s="67" t="s">
        <v>78</v>
      </c>
      <c r="G216" s="67"/>
      <c r="H216" s="67"/>
    </row>
    <row r="217" spans="2:8" ht="12.75">
      <c r="B217" s="66" t="s">
        <v>78</v>
      </c>
      <c r="C217" s="46" t="s">
        <v>78</v>
      </c>
      <c r="D217" s="174"/>
      <c r="E217" s="60" t="s">
        <v>78</v>
      </c>
      <c r="F217" s="67" t="s">
        <v>78</v>
      </c>
      <c r="G217" s="67"/>
      <c r="H217" s="67"/>
    </row>
    <row r="218" spans="1:8" ht="12.75">
      <c r="A218" s="22" t="s">
        <v>78</v>
      </c>
      <c r="B218" s="66" t="s">
        <v>78</v>
      </c>
      <c r="C218" s="46" t="s">
        <v>78</v>
      </c>
      <c r="D218" s="174"/>
      <c r="E218" s="67" t="s">
        <v>78</v>
      </c>
      <c r="F218" s="67" t="s">
        <v>78</v>
      </c>
      <c r="G218" s="67"/>
      <c r="H218" s="67"/>
    </row>
    <row r="219" spans="2:8" ht="12.75">
      <c r="B219" s="66" t="s">
        <v>78</v>
      </c>
      <c r="C219" s="46" t="s">
        <v>78</v>
      </c>
      <c r="D219" s="261" t="s">
        <v>78</v>
      </c>
      <c r="E219" s="67" t="s">
        <v>78</v>
      </c>
      <c r="F219" s="67"/>
      <c r="G219" s="67"/>
      <c r="H219" s="54"/>
    </row>
    <row r="220" spans="1:8" ht="12.75">
      <c r="A220" s="22" t="s">
        <v>78</v>
      </c>
      <c r="B220" s="66" t="s">
        <v>78</v>
      </c>
      <c r="C220" s="46" t="s">
        <v>78</v>
      </c>
      <c r="D220" s="261"/>
      <c r="E220" s="67" t="s">
        <v>78</v>
      </c>
      <c r="F220" s="67"/>
      <c r="G220" s="67"/>
      <c r="H220" s="54" t="s">
        <v>78</v>
      </c>
    </row>
    <row r="221" spans="2:8" ht="12.75">
      <c r="B221" s="66" t="s">
        <v>78</v>
      </c>
      <c r="C221" s="46" t="s">
        <v>78</v>
      </c>
      <c r="D221" s="174"/>
      <c r="E221" s="67"/>
      <c r="F221" s="67"/>
      <c r="G221" s="261" t="s">
        <v>78</v>
      </c>
      <c r="H221" s="54" t="s">
        <v>78</v>
      </c>
    </row>
    <row r="222" spans="1:8" ht="12.75">
      <c r="A222" s="22" t="s">
        <v>78</v>
      </c>
      <c r="B222" s="66" t="s">
        <v>78</v>
      </c>
      <c r="C222" s="46" t="s">
        <v>78</v>
      </c>
      <c r="D222" s="174"/>
      <c r="E222" s="67" t="s">
        <v>78</v>
      </c>
      <c r="F222" s="67"/>
      <c r="G222" s="261"/>
      <c r="H222" s="54" t="s">
        <v>78</v>
      </c>
    </row>
    <row r="223" spans="2:8" ht="12.75">
      <c r="B223" s="66" t="s">
        <v>78</v>
      </c>
      <c r="C223" s="46" t="s">
        <v>78</v>
      </c>
      <c r="D223" s="261" t="s">
        <v>78</v>
      </c>
      <c r="E223" s="67" t="s">
        <v>78</v>
      </c>
      <c r="F223" s="67"/>
      <c r="G223" s="67"/>
      <c r="H223" s="67"/>
    </row>
    <row r="224" spans="1:8" ht="12.75">
      <c r="A224" s="22" t="s">
        <v>78</v>
      </c>
      <c r="B224" s="66" t="s">
        <v>78</v>
      </c>
      <c r="C224" s="46" t="s">
        <v>78</v>
      </c>
      <c r="D224" s="261"/>
      <c r="E224" s="67" t="s">
        <v>78</v>
      </c>
      <c r="F224" s="67" t="s">
        <v>78</v>
      </c>
      <c r="G224" s="67"/>
      <c r="H224" s="67"/>
    </row>
    <row r="225" spans="2:8" ht="12.75">
      <c r="B225" s="66" t="s">
        <v>78</v>
      </c>
      <c r="C225" s="46" t="s">
        <v>78</v>
      </c>
      <c r="D225" s="174"/>
      <c r="E225" s="60" t="s">
        <v>78</v>
      </c>
      <c r="F225" s="67" t="s">
        <v>78</v>
      </c>
      <c r="G225" s="67"/>
      <c r="H225" s="67"/>
    </row>
    <row r="226" spans="1:8" ht="12.75">
      <c r="A226" s="22" t="s">
        <v>78</v>
      </c>
      <c r="B226" s="66" t="s">
        <v>78</v>
      </c>
      <c r="C226" s="46" t="s">
        <v>78</v>
      </c>
      <c r="D226" s="174"/>
      <c r="E226" s="67" t="s">
        <v>78</v>
      </c>
      <c r="F226" s="67" t="s">
        <v>78</v>
      </c>
      <c r="G226" s="67"/>
      <c r="H226" s="67"/>
    </row>
    <row r="227" spans="2:8" ht="12.75">
      <c r="B227" s="66" t="s">
        <v>78</v>
      </c>
      <c r="C227" s="46" t="s">
        <v>78</v>
      </c>
      <c r="D227" s="261" t="s">
        <v>78</v>
      </c>
      <c r="E227" s="67" t="s">
        <v>78</v>
      </c>
      <c r="F227" s="67"/>
      <c r="G227" s="67"/>
      <c r="H227" s="67"/>
    </row>
    <row r="228" spans="1:8" ht="12.75">
      <c r="A228" s="22" t="s">
        <v>78</v>
      </c>
      <c r="B228" s="66" t="s">
        <v>78</v>
      </c>
      <c r="C228" s="46" t="s">
        <v>78</v>
      </c>
      <c r="D228" s="261"/>
      <c r="E228" s="67" t="s">
        <v>78</v>
      </c>
      <c r="F228" s="67"/>
      <c r="G228" s="67" t="s">
        <v>78</v>
      </c>
      <c r="H228" s="67"/>
    </row>
    <row r="229" spans="2:8" ht="12.75">
      <c r="B229" s="66" t="s">
        <v>78</v>
      </c>
      <c r="C229" s="46" t="s">
        <v>78</v>
      </c>
      <c r="D229" s="174"/>
      <c r="E229" s="67"/>
      <c r="F229" s="261" t="s">
        <v>78</v>
      </c>
      <c r="G229" s="67" t="s">
        <v>78</v>
      </c>
      <c r="H229" s="67"/>
    </row>
    <row r="230" spans="1:8" ht="12.75">
      <c r="A230" s="22" t="s">
        <v>78</v>
      </c>
      <c r="B230" s="66" t="s">
        <v>78</v>
      </c>
      <c r="C230" s="46" t="s">
        <v>78</v>
      </c>
      <c r="D230" s="174"/>
      <c r="E230" s="67" t="s">
        <v>78</v>
      </c>
      <c r="F230" s="261"/>
      <c r="G230" s="67" t="s">
        <v>78</v>
      </c>
      <c r="H230" s="67"/>
    </row>
    <row r="231" spans="2:8" ht="12.75">
      <c r="B231" s="66" t="s">
        <v>78</v>
      </c>
      <c r="C231" s="46" t="s">
        <v>78</v>
      </c>
      <c r="D231" s="261" t="s">
        <v>78</v>
      </c>
      <c r="E231" s="67" t="s">
        <v>78</v>
      </c>
      <c r="F231" s="67"/>
      <c r="G231" s="67"/>
      <c r="H231" s="67"/>
    </row>
    <row r="232" spans="1:8" ht="12.75">
      <c r="A232" s="22" t="s">
        <v>78</v>
      </c>
      <c r="B232" s="66" t="s">
        <v>78</v>
      </c>
      <c r="C232" s="46" t="s">
        <v>78</v>
      </c>
      <c r="D232" s="261"/>
      <c r="E232" s="67" t="s">
        <v>78</v>
      </c>
      <c r="F232" s="67" t="s">
        <v>78</v>
      </c>
      <c r="G232" s="67"/>
      <c r="H232" s="67"/>
    </row>
    <row r="233" spans="2:8" ht="12.75">
      <c r="B233" s="66" t="s">
        <v>78</v>
      </c>
      <c r="C233" s="46" t="s">
        <v>78</v>
      </c>
      <c r="D233" s="174"/>
      <c r="E233" s="60" t="s">
        <v>78</v>
      </c>
      <c r="F233" s="67" t="s">
        <v>78</v>
      </c>
      <c r="G233" s="67"/>
      <c r="H233" s="67"/>
    </row>
    <row r="234" spans="1:8" ht="12.75">
      <c r="A234" s="22" t="s">
        <v>78</v>
      </c>
      <c r="B234" s="66" t="s">
        <v>78</v>
      </c>
      <c r="C234" s="46" t="s">
        <v>78</v>
      </c>
      <c r="D234" s="174"/>
      <c r="E234" s="67" t="s">
        <v>78</v>
      </c>
      <c r="F234" s="67" t="s">
        <v>78</v>
      </c>
      <c r="G234" s="67"/>
      <c r="H234" s="67"/>
    </row>
    <row r="235" spans="2:8" ht="12.75">
      <c r="B235" s="66" t="s">
        <v>78</v>
      </c>
      <c r="C235" s="46" t="s">
        <v>78</v>
      </c>
      <c r="D235" s="261" t="s">
        <v>78</v>
      </c>
      <c r="E235" s="67" t="s">
        <v>78</v>
      </c>
      <c r="F235" s="67"/>
      <c r="G235" s="67"/>
      <c r="H235" s="67"/>
    </row>
    <row r="236" spans="1:8" ht="12.75">
      <c r="A236" s="22" t="s">
        <v>78</v>
      </c>
      <c r="B236" s="66" t="s">
        <v>78</v>
      </c>
      <c r="C236" s="46" t="s">
        <v>78</v>
      </c>
      <c r="D236" s="261"/>
      <c r="E236" s="67" t="s">
        <v>78</v>
      </c>
      <c r="F236" s="67"/>
      <c r="G236" s="67"/>
      <c r="H236" s="161" t="s">
        <v>78</v>
      </c>
    </row>
    <row r="237" spans="2:8" ht="12.75">
      <c r="B237" s="66" t="s">
        <v>78</v>
      </c>
      <c r="C237" s="46" t="s">
        <v>78</v>
      </c>
      <c r="D237" s="174"/>
      <c r="E237" s="67"/>
      <c r="F237" s="67"/>
      <c r="G237" s="261" t="s">
        <v>78</v>
      </c>
      <c r="H237" s="176" t="s">
        <v>78</v>
      </c>
    </row>
    <row r="238" spans="1:8" ht="12.75">
      <c r="A238" s="22" t="s">
        <v>78</v>
      </c>
      <c r="B238" s="66" t="s">
        <v>78</v>
      </c>
      <c r="C238" s="46" t="s">
        <v>78</v>
      </c>
      <c r="D238" s="174"/>
      <c r="E238" s="67" t="s">
        <v>78</v>
      </c>
      <c r="F238" s="67"/>
      <c r="G238" s="261"/>
      <c r="H238" s="67" t="s">
        <v>78</v>
      </c>
    </row>
    <row r="239" spans="2:8" ht="12.75">
      <c r="B239" s="66" t="s">
        <v>78</v>
      </c>
      <c r="C239" s="46" t="s">
        <v>78</v>
      </c>
      <c r="D239" s="261" t="s">
        <v>78</v>
      </c>
      <c r="E239" s="67" t="s">
        <v>78</v>
      </c>
      <c r="F239" s="67"/>
      <c r="G239" s="67"/>
      <c r="H239" s="67"/>
    </row>
    <row r="240" spans="1:8" ht="12.75">
      <c r="A240" s="22" t="s">
        <v>78</v>
      </c>
      <c r="B240" s="66" t="s">
        <v>78</v>
      </c>
      <c r="C240" s="46" t="s">
        <v>78</v>
      </c>
      <c r="D240" s="261"/>
      <c r="E240" s="67" t="s">
        <v>78</v>
      </c>
      <c r="F240" s="67" t="s">
        <v>78</v>
      </c>
      <c r="G240" s="67"/>
      <c r="H240" s="67"/>
    </row>
    <row r="241" spans="2:8" ht="12.75">
      <c r="B241" s="66" t="s">
        <v>78</v>
      </c>
      <c r="C241" s="46" t="s">
        <v>78</v>
      </c>
      <c r="D241" s="174"/>
      <c r="E241" s="60" t="s">
        <v>78</v>
      </c>
      <c r="F241" s="67" t="s">
        <v>78</v>
      </c>
      <c r="G241" s="67"/>
      <c r="H241" s="67"/>
    </row>
    <row r="242" spans="1:8" ht="12.75">
      <c r="A242" s="22" t="s">
        <v>78</v>
      </c>
      <c r="B242" s="66" t="s">
        <v>78</v>
      </c>
      <c r="C242" s="46" t="s">
        <v>78</v>
      </c>
      <c r="D242" s="174"/>
      <c r="E242" s="67" t="s">
        <v>78</v>
      </c>
      <c r="F242" s="67" t="s">
        <v>78</v>
      </c>
      <c r="G242" s="67"/>
      <c r="H242" s="67"/>
    </row>
    <row r="243" spans="2:8" ht="12.75">
      <c r="B243" s="66" t="s">
        <v>78</v>
      </c>
      <c r="C243" s="46" t="s">
        <v>78</v>
      </c>
      <c r="D243" s="261" t="s">
        <v>78</v>
      </c>
      <c r="E243" s="67" t="s">
        <v>78</v>
      </c>
      <c r="F243" s="67"/>
      <c r="G243" s="67"/>
      <c r="H243" s="67"/>
    </row>
    <row r="244" spans="1:8" ht="12.75">
      <c r="A244" s="22" t="s">
        <v>78</v>
      </c>
      <c r="B244" s="66" t="s">
        <v>78</v>
      </c>
      <c r="C244" s="46" t="s">
        <v>78</v>
      </c>
      <c r="D244" s="261"/>
      <c r="E244" s="67" t="s">
        <v>78</v>
      </c>
      <c r="F244" s="67"/>
      <c r="G244" s="67" t="s">
        <v>78</v>
      </c>
      <c r="H244" s="67"/>
    </row>
    <row r="245" spans="2:8" ht="12.75">
      <c r="B245" s="66" t="s">
        <v>78</v>
      </c>
      <c r="C245" s="46" t="s">
        <v>78</v>
      </c>
      <c r="D245" s="174"/>
      <c r="E245" s="67"/>
      <c r="F245" s="261" t="s">
        <v>78</v>
      </c>
      <c r="G245" s="67" t="s">
        <v>78</v>
      </c>
      <c r="H245" s="67"/>
    </row>
    <row r="246" spans="1:8" ht="12.75">
      <c r="A246" s="22" t="s">
        <v>78</v>
      </c>
      <c r="B246" s="66" t="s">
        <v>78</v>
      </c>
      <c r="C246" s="46" t="s">
        <v>78</v>
      </c>
      <c r="D246" s="174"/>
      <c r="E246" s="67" t="s">
        <v>78</v>
      </c>
      <c r="F246" s="261"/>
      <c r="G246" s="67" t="s">
        <v>78</v>
      </c>
      <c r="H246" s="67"/>
    </row>
    <row r="247" spans="2:8" ht="12.75">
      <c r="B247" s="66" t="s">
        <v>78</v>
      </c>
      <c r="C247" s="46" t="s">
        <v>78</v>
      </c>
      <c r="D247" s="261" t="s">
        <v>78</v>
      </c>
      <c r="E247" s="67" t="s">
        <v>78</v>
      </c>
      <c r="F247" s="67"/>
      <c r="G247" s="67"/>
      <c r="H247" s="67"/>
    </row>
    <row r="248" spans="1:8" ht="12.75">
      <c r="A248" s="22" t="s">
        <v>78</v>
      </c>
      <c r="B248" s="66" t="s">
        <v>78</v>
      </c>
      <c r="C248" s="46" t="s">
        <v>78</v>
      </c>
      <c r="D248" s="261"/>
      <c r="E248" s="67" t="s">
        <v>78</v>
      </c>
      <c r="F248" s="67" t="s">
        <v>78</v>
      </c>
      <c r="G248" s="67"/>
      <c r="H248" s="67"/>
    </row>
    <row r="249" spans="2:8" ht="12.75">
      <c r="B249" s="66" t="s">
        <v>78</v>
      </c>
      <c r="C249" s="46" t="s">
        <v>78</v>
      </c>
      <c r="D249" s="174"/>
      <c r="E249" s="60" t="s">
        <v>78</v>
      </c>
      <c r="F249" s="67" t="s">
        <v>78</v>
      </c>
      <c r="G249" s="67"/>
      <c r="H249" s="67"/>
    </row>
    <row r="250" spans="1:8" ht="12.75">
      <c r="A250" s="22" t="s">
        <v>78</v>
      </c>
      <c r="B250" s="66" t="s">
        <v>78</v>
      </c>
      <c r="C250" s="46" t="s">
        <v>78</v>
      </c>
      <c r="D250" s="174"/>
      <c r="E250" s="67" t="s">
        <v>78</v>
      </c>
      <c r="F250" s="67" t="s">
        <v>78</v>
      </c>
      <c r="G250" s="67"/>
      <c r="H250" s="67"/>
    </row>
    <row r="251" spans="2:8" ht="12.75">
      <c r="B251" s="66" t="s">
        <v>78</v>
      </c>
      <c r="C251" s="46" t="s">
        <v>78</v>
      </c>
      <c r="D251" s="261" t="s">
        <v>78</v>
      </c>
      <c r="E251" s="67" t="s">
        <v>78</v>
      </c>
      <c r="F251" s="67"/>
      <c r="G251" s="67"/>
      <c r="H251" s="67"/>
    </row>
    <row r="252" spans="1:8" ht="12.75">
      <c r="A252" s="22" t="s">
        <v>78</v>
      </c>
      <c r="B252" s="66" t="s">
        <v>78</v>
      </c>
      <c r="C252" s="46" t="s">
        <v>78</v>
      </c>
      <c r="D252" s="261"/>
      <c r="E252" s="67" t="s">
        <v>78</v>
      </c>
      <c r="F252" s="67"/>
      <c r="G252" s="67"/>
      <c r="H252" s="54" t="s">
        <v>78</v>
      </c>
    </row>
    <row r="253" spans="2:8" ht="12.75">
      <c r="B253" s="66" t="s">
        <v>78</v>
      </c>
      <c r="C253" s="46" t="s">
        <v>78</v>
      </c>
      <c r="D253" s="174"/>
      <c r="E253" s="67"/>
      <c r="F253" s="67"/>
      <c r="G253" s="261" t="s">
        <v>78</v>
      </c>
      <c r="H253" s="54" t="s">
        <v>78</v>
      </c>
    </row>
    <row r="254" spans="1:8" ht="12.75">
      <c r="A254" s="22" t="s">
        <v>78</v>
      </c>
      <c r="B254" s="66" t="s">
        <v>78</v>
      </c>
      <c r="C254" s="46" t="s">
        <v>78</v>
      </c>
      <c r="D254" s="174"/>
      <c r="E254" s="67" t="s">
        <v>78</v>
      </c>
      <c r="F254" s="67"/>
      <c r="G254" s="261"/>
      <c r="H254" s="67" t="s">
        <v>78</v>
      </c>
    </row>
    <row r="255" spans="2:8" ht="12.75">
      <c r="B255" s="66" t="s">
        <v>78</v>
      </c>
      <c r="C255" s="46" t="s">
        <v>78</v>
      </c>
      <c r="D255" s="261" t="s">
        <v>78</v>
      </c>
      <c r="E255" s="67" t="s">
        <v>78</v>
      </c>
      <c r="F255" s="67"/>
      <c r="G255" s="67"/>
      <c r="H255" s="67"/>
    </row>
    <row r="256" spans="1:8" ht="12.75">
      <c r="A256" s="22" t="s">
        <v>78</v>
      </c>
      <c r="B256" s="66" t="s">
        <v>78</v>
      </c>
      <c r="C256" s="46" t="s">
        <v>78</v>
      </c>
      <c r="D256" s="261"/>
      <c r="E256" s="67" t="s">
        <v>78</v>
      </c>
      <c r="F256" s="67" t="s">
        <v>78</v>
      </c>
      <c r="G256" s="67"/>
      <c r="H256" s="67"/>
    </row>
    <row r="257" spans="2:8" ht="12.75">
      <c r="B257" s="66" t="s">
        <v>78</v>
      </c>
      <c r="C257" s="46" t="s">
        <v>78</v>
      </c>
      <c r="D257" s="174"/>
      <c r="E257" s="60" t="s">
        <v>78</v>
      </c>
      <c r="F257" s="67" t="s">
        <v>78</v>
      </c>
      <c r="G257" s="67"/>
      <c r="H257" s="67"/>
    </row>
    <row r="258" spans="1:8" ht="12.75">
      <c r="A258" s="22" t="s">
        <v>78</v>
      </c>
      <c r="B258" s="66" t="s">
        <v>78</v>
      </c>
      <c r="C258" s="46" t="s">
        <v>78</v>
      </c>
      <c r="D258" s="174"/>
      <c r="E258" s="67" t="s">
        <v>78</v>
      </c>
      <c r="F258" s="67" t="s">
        <v>78</v>
      </c>
      <c r="G258" s="67"/>
      <c r="H258" s="67"/>
    </row>
    <row r="259" spans="2:8" ht="12.75">
      <c r="B259" s="66" t="s">
        <v>78</v>
      </c>
      <c r="C259" s="46" t="s">
        <v>78</v>
      </c>
      <c r="D259" s="261" t="s">
        <v>78</v>
      </c>
      <c r="E259" s="67" t="s">
        <v>78</v>
      </c>
      <c r="F259" s="67"/>
      <c r="G259" s="67"/>
      <c r="H259" s="67"/>
    </row>
    <row r="260" spans="1:8" ht="12.75">
      <c r="A260" s="22" t="s">
        <v>78</v>
      </c>
      <c r="B260" s="66" t="s">
        <v>78</v>
      </c>
      <c r="C260" s="46" t="s">
        <v>78</v>
      </c>
      <c r="D260" s="261"/>
      <c r="E260" s="67" t="s">
        <v>78</v>
      </c>
      <c r="F260" s="67"/>
      <c r="G260" s="67" t="s">
        <v>78</v>
      </c>
      <c r="H260" s="67"/>
    </row>
    <row r="261" spans="2:8" ht="12.75">
      <c r="B261" s="66" t="s">
        <v>78</v>
      </c>
      <c r="C261" s="46" t="s">
        <v>78</v>
      </c>
      <c r="D261" s="174"/>
      <c r="E261" s="67"/>
      <c r="F261" s="261" t="s">
        <v>78</v>
      </c>
      <c r="G261" s="67" t="s">
        <v>78</v>
      </c>
      <c r="H261" s="67"/>
    </row>
    <row r="262" spans="1:8" ht="12.75">
      <c r="A262" s="22" t="s">
        <v>78</v>
      </c>
      <c r="B262" s="66" t="s">
        <v>78</v>
      </c>
      <c r="C262" s="46" t="s">
        <v>78</v>
      </c>
      <c r="D262" s="174"/>
      <c r="E262" s="67" t="s">
        <v>78</v>
      </c>
      <c r="F262" s="261"/>
      <c r="G262" s="67" t="s">
        <v>78</v>
      </c>
      <c r="H262" s="67"/>
    </row>
    <row r="263" spans="2:8" ht="12.75">
      <c r="B263" s="66" t="s">
        <v>78</v>
      </c>
      <c r="C263" s="46" t="s">
        <v>78</v>
      </c>
      <c r="D263" s="261" t="s">
        <v>78</v>
      </c>
      <c r="E263" s="67" t="s">
        <v>78</v>
      </c>
      <c r="F263" s="67"/>
      <c r="G263" s="67"/>
      <c r="H263" s="67"/>
    </row>
    <row r="264" spans="1:8" ht="12.75">
      <c r="A264" s="22" t="s">
        <v>78</v>
      </c>
      <c r="B264" s="66" t="s">
        <v>78</v>
      </c>
      <c r="C264" s="46" t="s">
        <v>78</v>
      </c>
      <c r="D264" s="261"/>
      <c r="E264" s="67" t="s">
        <v>78</v>
      </c>
      <c r="F264" s="67" t="s">
        <v>78</v>
      </c>
      <c r="G264" s="67"/>
      <c r="H264" s="67"/>
    </row>
    <row r="265" spans="2:8" ht="12.75">
      <c r="B265" s="66" t="s">
        <v>78</v>
      </c>
      <c r="C265" s="46" t="s">
        <v>78</v>
      </c>
      <c r="D265" s="174"/>
      <c r="E265" s="60" t="s">
        <v>78</v>
      </c>
      <c r="F265" s="67" t="s">
        <v>78</v>
      </c>
      <c r="G265" s="67"/>
      <c r="H265" s="67"/>
    </row>
    <row r="266" spans="1:8" ht="12.75">
      <c r="A266" s="22" t="s">
        <v>78</v>
      </c>
      <c r="B266" s="66" t="s">
        <v>78</v>
      </c>
      <c r="C266" s="46" t="s">
        <v>78</v>
      </c>
      <c r="D266" s="174"/>
      <c r="E266" s="67" t="s">
        <v>78</v>
      </c>
      <c r="F266" s="67" t="s">
        <v>78</v>
      </c>
      <c r="G266" s="67"/>
      <c r="H266" s="67"/>
    </row>
    <row r="267" spans="2:8" ht="12.75">
      <c r="B267" s="66" t="s">
        <v>78</v>
      </c>
      <c r="C267" s="46" t="s">
        <v>78</v>
      </c>
      <c r="D267" s="261" t="s">
        <v>78</v>
      </c>
      <c r="E267" s="67" t="s">
        <v>78</v>
      </c>
      <c r="F267" s="67"/>
      <c r="G267" s="67"/>
      <c r="H267" s="67"/>
    </row>
    <row r="268" spans="1:8" ht="12.75">
      <c r="A268" s="22" t="s">
        <v>78</v>
      </c>
      <c r="B268" s="66" t="s">
        <v>78</v>
      </c>
      <c r="C268" s="46" t="s">
        <v>78</v>
      </c>
      <c r="D268" s="261"/>
      <c r="E268" s="67" t="s">
        <v>78</v>
      </c>
      <c r="F268" s="67"/>
      <c r="G268" s="67"/>
      <c r="H268" s="67"/>
    </row>
    <row r="270" spans="1:9" ht="25.5">
      <c r="A270" s="257" t="s">
        <v>78</v>
      </c>
      <c r="B270" s="257"/>
      <c r="C270" s="257"/>
      <c r="D270" s="257"/>
      <c r="E270" s="257"/>
      <c r="F270" s="257"/>
      <c r="G270" s="257"/>
      <c r="H270" s="257"/>
      <c r="I270" s="179"/>
    </row>
    <row r="271" ht="18.75" customHeight="1"/>
    <row r="272" spans="4:8" ht="18.75">
      <c r="D272" s="192" t="s">
        <v>78</v>
      </c>
      <c r="E272" s="192"/>
      <c r="F272" s="192"/>
      <c r="H272" s="120" t="s">
        <v>78</v>
      </c>
    </row>
    <row r="273" ht="18" customHeight="1">
      <c r="H273" s="178" t="s">
        <v>78</v>
      </c>
    </row>
    <row r="274" ht="18" customHeight="1"/>
    <row r="275" ht="18" customHeight="1"/>
    <row r="276" ht="18" customHeight="1"/>
    <row r="277" ht="18" customHeight="1">
      <c r="C277" s="126" t="s">
        <v>78</v>
      </c>
    </row>
    <row r="278" spans="1:3" ht="18" customHeight="1">
      <c r="A278" s="271" t="s">
        <v>78</v>
      </c>
      <c r="B278" s="271"/>
      <c r="C278" s="126" t="s">
        <v>78</v>
      </c>
    </row>
    <row r="279" ht="18" customHeight="1"/>
    <row r="280" ht="18" customHeight="1">
      <c r="E280" s="180" t="s">
        <v>78</v>
      </c>
    </row>
    <row r="281" spans="4:5" ht="18" customHeight="1">
      <c r="D281" s="273" t="s">
        <v>78</v>
      </c>
      <c r="E281" s="165" t="s">
        <v>78</v>
      </c>
    </row>
    <row r="282" spans="4:5" ht="18" customHeight="1">
      <c r="D282" s="273"/>
      <c r="E282" s="181" t="s">
        <v>78</v>
      </c>
    </row>
    <row r="283" ht="18" customHeight="1">
      <c r="C283" s="126" t="s">
        <v>78</v>
      </c>
    </row>
    <row r="284" spans="1:3" ht="18" customHeight="1">
      <c r="A284" s="271" t="s">
        <v>78</v>
      </c>
      <c r="B284" s="271"/>
      <c r="C284" s="126" t="s">
        <v>78</v>
      </c>
    </row>
    <row r="285" ht="18" customHeight="1"/>
    <row r="286" ht="18" customHeight="1">
      <c r="F286" s="126" t="s">
        <v>78</v>
      </c>
    </row>
    <row r="287" spans="5:6" ht="18" customHeight="1">
      <c r="E287" s="182" t="s">
        <v>78</v>
      </c>
      <c r="F287" s="126" t="s">
        <v>78</v>
      </c>
    </row>
    <row r="288" spans="5:6" ht="18" customHeight="1">
      <c r="E288" s="182"/>
      <c r="F288" s="181" t="s">
        <v>78</v>
      </c>
    </row>
    <row r="289" ht="18" customHeight="1">
      <c r="C289" s="126" t="s">
        <v>78</v>
      </c>
    </row>
    <row r="290" spans="1:3" ht="18" customHeight="1">
      <c r="A290" s="271" t="s">
        <v>78</v>
      </c>
      <c r="B290" s="271"/>
      <c r="C290" s="126" t="s">
        <v>78</v>
      </c>
    </row>
    <row r="291" ht="18" customHeight="1"/>
    <row r="292" ht="18" customHeight="1">
      <c r="E292" s="180" t="s">
        <v>78</v>
      </c>
    </row>
    <row r="293" spans="4:5" ht="18" customHeight="1">
      <c r="D293" s="273" t="s">
        <v>78</v>
      </c>
      <c r="E293" s="180" t="s">
        <v>78</v>
      </c>
    </row>
    <row r="294" spans="4:5" ht="18" customHeight="1">
      <c r="D294" s="273"/>
      <c r="E294" s="181" t="s">
        <v>78</v>
      </c>
    </row>
    <row r="295" ht="18" customHeight="1">
      <c r="C295" s="126" t="s">
        <v>78</v>
      </c>
    </row>
    <row r="296" spans="1:3" ht="18" customHeight="1">
      <c r="A296" s="271" t="s">
        <v>78</v>
      </c>
      <c r="B296" s="271"/>
      <c r="C296" s="126" t="s">
        <v>78</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sheet="1" formatCells="0" formatColumns="0" formatRows="0" insertColumns="0" insertRows="0" deleteColumns="0" deleteRows="0" sort="0" autoFilter="0" pivotTables="0"/>
  <mergeCells count="109">
    <mergeCell ref="D255:D256"/>
    <mergeCell ref="D259:D260"/>
    <mergeCell ref="F261:F262"/>
    <mergeCell ref="D263:D264"/>
    <mergeCell ref="D267:D268"/>
    <mergeCell ref="A270:H270"/>
    <mergeCell ref="A296:B296"/>
    <mergeCell ref="D272:F272"/>
    <mergeCell ref="A278:B278"/>
    <mergeCell ref="D281:D282"/>
    <mergeCell ref="A284:B284"/>
    <mergeCell ref="A290:B290"/>
    <mergeCell ref="D293:D294"/>
    <mergeCell ref="D223:D224"/>
    <mergeCell ref="D227:D228"/>
    <mergeCell ref="F229:F230"/>
    <mergeCell ref="D231:D232"/>
    <mergeCell ref="D235:D236"/>
    <mergeCell ref="G237:G238"/>
    <mergeCell ref="D239:D240"/>
    <mergeCell ref="D243:D244"/>
    <mergeCell ref="F245:F246"/>
    <mergeCell ref="D247:D248"/>
    <mergeCell ref="D251:D252"/>
    <mergeCell ref="G253:G254"/>
    <mergeCell ref="D192:D193"/>
    <mergeCell ref="F194:F195"/>
    <mergeCell ref="D196:D197"/>
    <mergeCell ref="D200:D201"/>
    <mergeCell ref="A202:H202"/>
    <mergeCell ref="D203:F203"/>
    <mergeCell ref="D207:D208"/>
    <mergeCell ref="D211:D212"/>
    <mergeCell ref="F213:F214"/>
    <mergeCell ref="D215:D216"/>
    <mergeCell ref="D219:D220"/>
    <mergeCell ref="G221:G222"/>
    <mergeCell ref="D160:D161"/>
    <mergeCell ref="F162:F163"/>
    <mergeCell ref="D164:D165"/>
    <mergeCell ref="D168:D169"/>
    <mergeCell ref="G170:G171"/>
    <mergeCell ref="D172:D173"/>
    <mergeCell ref="D176:D177"/>
    <mergeCell ref="F178:F179"/>
    <mergeCell ref="D180:D181"/>
    <mergeCell ref="D184:D185"/>
    <mergeCell ref="G186:G187"/>
    <mergeCell ref="D188:D189"/>
    <mergeCell ref="F127:F128"/>
    <mergeCell ref="D129:D130"/>
    <mergeCell ref="D133:D134"/>
    <mergeCell ref="A135:H135"/>
    <mergeCell ref="D136:F136"/>
    <mergeCell ref="D140:D141"/>
    <mergeCell ref="D144:D145"/>
    <mergeCell ref="F146:F147"/>
    <mergeCell ref="D148:D149"/>
    <mergeCell ref="D152:D153"/>
    <mergeCell ref="G154:G155"/>
    <mergeCell ref="D156:D157"/>
    <mergeCell ref="F95:F96"/>
    <mergeCell ref="D97:D98"/>
    <mergeCell ref="D101:D102"/>
    <mergeCell ref="G103:G104"/>
    <mergeCell ref="D105:D106"/>
    <mergeCell ref="D109:D110"/>
    <mergeCell ref="F111:F112"/>
    <mergeCell ref="D113:D114"/>
    <mergeCell ref="D117:D118"/>
    <mergeCell ref="G119:G120"/>
    <mergeCell ref="D121:D122"/>
    <mergeCell ref="D125:D126"/>
    <mergeCell ref="D62:D63"/>
    <mergeCell ref="D66:D67"/>
    <mergeCell ref="A68:H68"/>
    <mergeCell ref="D69:F69"/>
    <mergeCell ref="D73:D74"/>
    <mergeCell ref="D77:D78"/>
    <mergeCell ref="F79:F80"/>
    <mergeCell ref="D81:D82"/>
    <mergeCell ref="D85:D86"/>
    <mergeCell ref="G87:G88"/>
    <mergeCell ref="D89:D90"/>
    <mergeCell ref="D93:D94"/>
    <mergeCell ref="D30:D31"/>
    <mergeCell ref="D34:D35"/>
    <mergeCell ref="G36:G37"/>
    <mergeCell ref="D38:D39"/>
    <mergeCell ref="D42:D43"/>
    <mergeCell ref="F44:F45"/>
    <mergeCell ref="D46:D47"/>
    <mergeCell ref="D50:D51"/>
    <mergeCell ref="G52:G53"/>
    <mergeCell ref="D54:D55"/>
    <mergeCell ref="D58:D59"/>
    <mergeCell ref="F60:F61"/>
    <mergeCell ref="A1:H1"/>
    <mergeCell ref="D2:F2"/>
    <mergeCell ref="G3:H3"/>
    <mergeCell ref="D6:D7"/>
    <mergeCell ref="D10:D11"/>
    <mergeCell ref="F12:F13"/>
    <mergeCell ref="D14:D15"/>
    <mergeCell ref="D18:D19"/>
    <mergeCell ref="G20:G21"/>
    <mergeCell ref="D22:D23"/>
    <mergeCell ref="D26:D27"/>
    <mergeCell ref="F28:F29"/>
  </mergeCells>
  <conditionalFormatting sqref="C290:D290">
    <cfRule type="expression" priority="97" dxfId="888" stopIfTrue="1">
      <formula>$A$290=123</formula>
    </cfRule>
  </conditionalFormatting>
  <conditionalFormatting sqref="C296">
    <cfRule type="expression" priority="98" dxfId="888" stopIfTrue="1">
      <formula>$A$296=124</formula>
    </cfRule>
  </conditionalFormatting>
  <conditionalFormatting sqref="H13:H18">
    <cfRule type="expression" priority="99" dxfId="884" stopIfTrue="1">
      <formula>$A$21=9</formula>
    </cfRule>
  </conditionalFormatting>
  <conditionalFormatting sqref="G19 F25:F27 E23:E25 E31:E33 F30:F31">
    <cfRule type="expression" priority="100" dxfId="886" stopIfTrue="1">
      <formula>$A$21=9</formula>
    </cfRule>
  </conditionalFormatting>
  <conditionalFormatting sqref="B20:B23">
    <cfRule type="expression" priority="101" dxfId="106" stopIfTrue="1">
      <formula>$A$21=9</formula>
    </cfRule>
  </conditionalFormatting>
  <conditionalFormatting sqref="E30 C23 C25 C27 C29 C31 C33 C21 F24 G28 E22">
    <cfRule type="expression" priority="102" dxfId="888" stopIfTrue="1">
      <formula>$A$21=9</formula>
    </cfRule>
  </conditionalFormatting>
  <conditionalFormatting sqref="F32 E26 E34">
    <cfRule type="expression" priority="103" dxfId="889" stopIfTrue="1">
      <formula>$A$21=9</formula>
    </cfRule>
  </conditionalFormatting>
  <conditionalFormatting sqref="B24:B27">
    <cfRule type="expression" priority="104" dxfId="11" stopIfTrue="1">
      <formula>$A$25=11</formula>
    </cfRule>
  </conditionalFormatting>
  <conditionalFormatting sqref="B28:B31">
    <cfRule type="expression" priority="105" dxfId="106" stopIfTrue="1">
      <formula>$A$29=13</formula>
    </cfRule>
  </conditionalFormatting>
  <conditionalFormatting sqref="B32:B35">
    <cfRule type="expression" priority="106" dxfId="11" stopIfTrue="1">
      <formula>$A$33=15</formula>
    </cfRule>
  </conditionalFormatting>
  <conditionalFormatting sqref="G20:G21">
    <cfRule type="cellIs" priority="107" dxfId="920" operator="equal" stopIfTrue="1">
      <formula>15</formula>
    </cfRule>
  </conditionalFormatting>
  <conditionalFormatting sqref="B36:B39 D36:D37 C36">
    <cfRule type="expression" priority="108" dxfId="106" stopIfTrue="1">
      <formula>$A$37=17</formula>
    </cfRule>
  </conditionalFormatting>
  <conditionalFormatting sqref="B40:B43">
    <cfRule type="expression" priority="109" dxfId="11" stopIfTrue="1">
      <formula>$A$41=19</formula>
    </cfRule>
  </conditionalFormatting>
  <conditionalFormatting sqref="B44:B47">
    <cfRule type="expression" priority="110" dxfId="106" stopIfTrue="1">
      <formula>$A$45=21</formula>
    </cfRule>
  </conditionalFormatting>
  <conditionalFormatting sqref="B48:B51">
    <cfRule type="expression" priority="111" dxfId="11" stopIfTrue="1">
      <formula>$A$49=23</formula>
    </cfRule>
  </conditionalFormatting>
  <conditionalFormatting sqref="B52:B55">
    <cfRule type="expression" priority="112" dxfId="106" stopIfTrue="1">
      <formula>$A$53=25</formula>
    </cfRule>
  </conditionalFormatting>
  <conditionalFormatting sqref="B56:B59">
    <cfRule type="expression" priority="113" dxfId="11" stopIfTrue="1">
      <formula>$A$57=27</formula>
    </cfRule>
  </conditionalFormatting>
  <conditionalFormatting sqref="B60:B63">
    <cfRule type="expression" priority="114" dxfId="106" stopIfTrue="1">
      <formula>$A$61=29</formula>
    </cfRule>
  </conditionalFormatting>
  <conditionalFormatting sqref="B64:B67 C66:C67">
    <cfRule type="expression" priority="115" dxfId="11" stopIfTrue="1">
      <formula>$A$65=31</formula>
    </cfRule>
  </conditionalFormatting>
  <conditionalFormatting sqref="C34">
    <cfRule type="expression" priority="116" dxfId="11" stopIfTrue="1">
      <formula>$A$35=16</formula>
    </cfRule>
  </conditionalFormatting>
  <conditionalFormatting sqref="C35">
    <cfRule type="expression" priority="117" dxfId="906" stopIfTrue="1">
      <formula>$A$35=16</formula>
    </cfRule>
  </conditionalFormatting>
  <conditionalFormatting sqref="C39 C41 C43 C45 C47 C49 C51 C53 C55 C57 C59 C61 C63 C65 E38 G44 E46 F56 E54 F40 E62">
    <cfRule type="expression" priority="118" dxfId="888" stopIfTrue="1">
      <formula>$A$37=17</formula>
    </cfRule>
  </conditionalFormatting>
  <conditionalFormatting sqref="C37">
    <cfRule type="expression" priority="119" dxfId="905" stopIfTrue="1">
      <formula>$A$37=17</formula>
    </cfRule>
  </conditionalFormatting>
  <conditionalFormatting sqref="E42 E50 E58 E66 F64 F48 H52 G60">
    <cfRule type="expression" priority="120" dxfId="889" stopIfTrue="1">
      <formula>$A$37=17</formula>
    </cfRule>
  </conditionalFormatting>
  <conditionalFormatting sqref="F62:F63 H37:H51 F41:F43 E47:F47 F57:F59 G45:G51 E39:E41 E48:E49 E55:E57 E63:E65 F46 G54:G59 H29:H34">
    <cfRule type="expression" priority="121" dxfId="886" stopIfTrue="1">
      <formula>$A$37=17</formula>
    </cfRule>
  </conditionalFormatting>
  <conditionalFormatting sqref="H28">
    <cfRule type="expression" priority="122" dxfId="911" stopIfTrue="1">
      <formula>$A$37=17</formula>
    </cfRule>
    <cfRule type="expression" priority="123" dxfId="884" stopIfTrue="1">
      <formula>$A$21=9</formula>
    </cfRule>
  </conditionalFormatting>
  <conditionalFormatting sqref="H21">
    <cfRule type="expression" priority="124" dxfId="921" stopIfTrue="1">
      <formula>$A$37=17</formula>
    </cfRule>
    <cfRule type="expression" priority="125" dxfId="922" stopIfTrue="1">
      <formula>$A$21=9</formula>
    </cfRule>
  </conditionalFormatting>
  <conditionalFormatting sqref="H22:H27">
    <cfRule type="expression" priority="126" dxfId="911" stopIfTrue="1">
      <formula>$A$37=17</formula>
    </cfRule>
    <cfRule type="expression" priority="127" dxfId="908" stopIfTrue="1">
      <formula>$A$21=9</formula>
    </cfRule>
  </conditionalFormatting>
  <conditionalFormatting sqref="B71:B74 C71:D71 D72 D104 C103:D103">
    <cfRule type="expression" priority="128" dxfId="106" stopIfTrue="1">
      <formula>$A$72=33</formula>
    </cfRule>
  </conditionalFormatting>
  <conditionalFormatting sqref="B75:B78">
    <cfRule type="expression" priority="129" dxfId="11" stopIfTrue="1">
      <formula>$A$76=35</formula>
    </cfRule>
  </conditionalFormatting>
  <conditionalFormatting sqref="B79:B82">
    <cfRule type="expression" priority="130" dxfId="106" stopIfTrue="1">
      <formula>$A$80=37</formula>
    </cfRule>
  </conditionalFormatting>
  <conditionalFormatting sqref="B83:B86">
    <cfRule type="expression" priority="131" dxfId="11" stopIfTrue="1">
      <formula>$A$84=39</formula>
    </cfRule>
  </conditionalFormatting>
  <conditionalFormatting sqref="B87:B90">
    <cfRule type="expression" priority="132" dxfId="106" stopIfTrue="1">
      <formula>$A$88=41</formula>
    </cfRule>
  </conditionalFormatting>
  <conditionalFormatting sqref="B91:B94">
    <cfRule type="expression" priority="133" dxfId="11" stopIfTrue="1">
      <formula>$A$92=43</formula>
    </cfRule>
  </conditionalFormatting>
  <conditionalFormatting sqref="B95:B98">
    <cfRule type="expression" priority="134" dxfId="106" stopIfTrue="1">
      <formula>$A$96=45</formula>
    </cfRule>
  </conditionalFormatting>
  <conditionalFormatting sqref="B99:B102">
    <cfRule type="expression" priority="135" dxfId="11" stopIfTrue="1">
      <formula>$A$100=47</formula>
    </cfRule>
  </conditionalFormatting>
  <conditionalFormatting sqref="B103:B106">
    <cfRule type="expression" priority="136" dxfId="106" stopIfTrue="1">
      <formula>$A$104=49</formula>
    </cfRule>
  </conditionalFormatting>
  <conditionalFormatting sqref="B107:B110">
    <cfRule type="expression" priority="137" dxfId="11" stopIfTrue="1">
      <formula>$A$108=51</formula>
    </cfRule>
  </conditionalFormatting>
  <conditionalFormatting sqref="B111:B114">
    <cfRule type="expression" priority="138" dxfId="106" stopIfTrue="1">
      <formula>$A$112=53</formula>
    </cfRule>
  </conditionalFormatting>
  <conditionalFormatting sqref="B115:B118">
    <cfRule type="expression" priority="139" dxfId="11" stopIfTrue="1">
      <formula>$A$116=55</formula>
    </cfRule>
  </conditionalFormatting>
  <conditionalFormatting sqref="B119:B122">
    <cfRule type="expression" priority="140" dxfId="106" stopIfTrue="1">
      <formula>$A$120=57</formula>
    </cfRule>
  </conditionalFormatting>
  <conditionalFormatting sqref="B123:B126">
    <cfRule type="expression" priority="141" dxfId="11" stopIfTrue="1">
      <formula>$A$124=59</formula>
    </cfRule>
  </conditionalFormatting>
  <conditionalFormatting sqref="B127:B130">
    <cfRule type="expression" priority="142" dxfId="106" stopIfTrue="1">
      <formula>$A$128=61</formula>
    </cfRule>
  </conditionalFormatting>
  <conditionalFormatting sqref="B131:B134">
    <cfRule type="expression" priority="143" dxfId="11"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888" stopIfTrue="1">
      <formula>$A$72=33</formula>
    </cfRule>
  </conditionalFormatting>
  <conditionalFormatting sqref="D121:D122 D73:D74 D77:D78 D81:D82 D85:D86 D89:D90 D93:D94 D97:D98 D129:D130 D105:D106 D109:D110 D113:D114 D117:D118 D125:D126">
    <cfRule type="expression" priority="145" dxfId="907"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886" stopIfTrue="1">
      <formula>$A$72=33</formula>
    </cfRule>
  </conditionalFormatting>
  <conditionalFormatting sqref="E77 E85 F83 E93 E101 E109 E117 F99 F115 E125 E133 F131 G95 G127 H103 H119">
    <cfRule type="expression" priority="147" dxfId="889" stopIfTrue="1">
      <formula>$A$72=33</formula>
    </cfRule>
  </conditionalFormatting>
  <conditionalFormatting sqref="G170:G171 G237:G238">
    <cfRule type="cellIs" priority="148" dxfId="920" operator="equal" stopIfTrue="1">
      <formula>62</formula>
    </cfRule>
  </conditionalFormatting>
  <conditionalFormatting sqref="C72 C104">
    <cfRule type="expression" priority="149" dxfId="905" stopIfTrue="1">
      <formula>$A$72=33</formula>
    </cfRule>
  </conditionalFormatting>
  <conditionalFormatting sqref="C102 C134">
    <cfRule type="expression" priority="150" dxfId="906" stopIfTrue="1">
      <formula>$A$72=33</formula>
    </cfRule>
  </conditionalFormatting>
  <conditionalFormatting sqref="D38:D39 D42:D43 D46:D47 D50:D51 D54:D55 D58:D59 D62:D63">
    <cfRule type="expression" priority="151" dxfId="907" stopIfTrue="1">
      <formula>$A$37=17</formula>
    </cfRule>
  </conditionalFormatting>
  <conditionalFormatting sqref="D22:D23 D26:D27 D30:D31">
    <cfRule type="expression" priority="152" dxfId="907" stopIfTrue="1">
      <formula>$A$21=9</formula>
    </cfRule>
  </conditionalFormatting>
  <conditionalFormatting sqref="D34:D35">
    <cfRule type="expression" priority="153" dxfId="923" stopIfTrue="1">
      <formula>$A$21=9</formula>
    </cfRule>
  </conditionalFormatting>
  <conditionalFormatting sqref="D66:D67">
    <cfRule type="expression" priority="154" dxfId="923" stopIfTrue="1">
      <formula>$A$37=17</formula>
    </cfRule>
  </conditionalFormatting>
  <conditionalFormatting sqref="D133:D134 D101:D102">
    <cfRule type="expression" priority="155" dxfId="923" stopIfTrue="1">
      <formula>$A$72=33</formula>
    </cfRule>
  </conditionalFormatting>
  <conditionalFormatting sqref="F28:F29">
    <cfRule type="expression" priority="156" dxfId="886" stopIfTrue="1">
      <formula>$A$21=9</formula>
    </cfRule>
  </conditionalFormatting>
  <conditionalFormatting sqref="F44:F45 F60:F61 G52:G53">
    <cfRule type="expression" priority="157" dxfId="886" stopIfTrue="1">
      <formula>$A$37=17</formula>
    </cfRule>
  </conditionalFormatting>
  <conditionalFormatting sqref="F79:F80 F95:F96 F111:F112 F127:F128 G87:G88 G119:G120">
    <cfRule type="expression" priority="158" dxfId="886" stopIfTrue="1">
      <formula>$A$72=33</formula>
    </cfRule>
  </conditionalFormatting>
  <conditionalFormatting sqref="H20">
    <cfRule type="expression" priority="159" dxfId="924" stopIfTrue="1">
      <formula>$G$20=15</formula>
    </cfRule>
    <cfRule type="expression" priority="160" dxfId="884" stopIfTrue="1">
      <formula>$A$21=9</formula>
    </cfRule>
  </conditionalFormatting>
  <conditionalFormatting sqref="H19">
    <cfRule type="expression" priority="161" dxfId="925" stopIfTrue="1">
      <formula>$G$20=15</formula>
    </cfRule>
  </conditionalFormatting>
  <conditionalFormatting sqref="H35">
    <cfRule type="expression" priority="162" dxfId="926" stopIfTrue="1">
      <formula>$A$72=33</formula>
    </cfRule>
    <cfRule type="expression" priority="163" dxfId="927" stopIfTrue="1">
      <formula>$G$36=31</formula>
    </cfRule>
  </conditionalFormatting>
  <conditionalFormatting sqref="H36">
    <cfRule type="expression" priority="164" dxfId="916" stopIfTrue="1">
      <formula>$A$72=33</formula>
    </cfRule>
    <cfRule type="expression" priority="165" dxfId="918" stopIfTrue="1">
      <formula>$G$36=31</formula>
    </cfRule>
  </conditionalFormatting>
  <conditionalFormatting sqref="C139 C171 C206 C238">
    <cfRule type="expression" priority="166" dxfId="905" stopIfTrue="1">
      <formula>$A$139=65</formula>
    </cfRule>
  </conditionalFormatting>
  <conditionalFormatting sqref="H221 C143 C145 C147 G245 G213 C153 C155 C157 C159 E140 E148 E156 E164 E172 E180 E188 E196 E207 E215 E223 E231 E239 E247 E255 E263 F142 F158 F174 F190 F209 F225 F241 F257 G146 G178 H154 C161 C163 C165 C167 C173 C175 C177 C179 C181 C183 C185 C187 C189 C191 C193 C195 C197 C199 C208 C210 C212 C214 C216 C218 C220 C222 C224 C226 C228 C230 C232 C234 C240 C242 C244 C246 C248 C250 C252 C254 C256 C258 C260 C262 C264 C266">
    <cfRule type="expression" priority="167" dxfId="888" stopIfTrue="1">
      <formula>$A$139=65</formula>
    </cfRule>
  </conditionalFormatting>
  <conditionalFormatting sqref="C169 C201 C236 C268">
    <cfRule type="expression" priority="168" dxfId="906" stopIfTrue="1">
      <formula>$A$139=65</formula>
    </cfRule>
  </conditionalFormatting>
  <conditionalFormatting sqref="D152:D153 D156:D157 D160:D161 D164:D165 D172:D173 D176:D177 D180:D181 D184:D185 D188:D189 D192:D193 D196:D197 D207:D208 D211:D212 D215:D216 D219:D220 D223:D224 D227:D228 D231:D232 D239:D240 D243:D244 D247:D248 D251:D252 D255:D256 D259:D260 D263:D264">
    <cfRule type="expression" priority="169" dxfId="907" stopIfTrue="1">
      <formula>$A$139=65</formula>
    </cfRule>
  </conditionalFormatting>
  <conditionalFormatting sqref="D168:D169 D200:D201 D267:D268 D235:D236">
    <cfRule type="expression" priority="170" dxfId="923" stopIfTrue="1">
      <formula>$A$139=65</formula>
    </cfRule>
  </conditionalFormatting>
  <conditionalFormatting sqref="E152 H186 F265 F249 F233 F217 F198 F182 F166 F150 G162 G194 H170 G229 G261 H253 H237 E144 E160 E168 E176 E184 E192 E200 E211 E219 E227 E243 E251 E259 E267 E235">
    <cfRule type="expression" priority="171" dxfId="889" stopIfTrue="1">
      <formula>$A$139=65</formula>
    </cfRule>
  </conditionalFormatting>
  <conditionalFormatting sqref="E141:E143 F143:F145 F148:F149 F159:F161 F164:F165 F175:F177 F180:F181 F191:F193 F196:F197 F210:F212 F215:F216 F226:F228 F231:F232 F242:F244 F247:F248 F258:F260 F263:F264 G147:G153 G156:G161 G179:G185 G188:G193 H155:H169 H171:H185 G214:G220 G223:G228 G246:G252 G255:G260 H222:H236 H238:H252 E149:E151 E157:E159 E165:E167 E173:E175 E181:E183 E189:E191 E197:E199 E208:E210 E216:E218 E224:E226 E232:E234 E240:E242 E248:E250 E256:E258 E264:E266">
    <cfRule type="expression" priority="172" dxfId="886" stopIfTrue="1">
      <formula>$A$139=65</formula>
    </cfRule>
  </conditionalFormatting>
  <conditionalFormatting sqref="F146:F147 G154:G155 F162:F163 F178:F179 F194:F195 F213:F214 F229:F230 F245:F246 F261:F262 G186:G187 G221:G222 G253:G254">
    <cfRule type="expression" priority="173" dxfId="886" stopIfTrue="1">
      <formula>$A$139=65</formula>
    </cfRule>
  </conditionalFormatting>
  <conditionalFormatting sqref="C138 D138:D139 B138:B139 D170:D171 D205:D206 D237:D238">
    <cfRule type="expression" priority="174" dxfId="106" stopIfTrue="1">
      <formula>$A$139=65</formula>
    </cfRule>
  </conditionalFormatting>
  <conditionalFormatting sqref="B142:B145">
    <cfRule type="expression" priority="175" dxfId="11" stopIfTrue="1">
      <formula>$A$143=67</formula>
    </cfRule>
  </conditionalFormatting>
  <conditionalFormatting sqref="B146:B147">
    <cfRule type="expression" priority="176" dxfId="106" stopIfTrue="1">
      <formula>$A$147=69</formula>
    </cfRule>
  </conditionalFormatting>
  <conditionalFormatting sqref="B150 B152:B153">
    <cfRule type="expression" priority="177" dxfId="11" stopIfTrue="1">
      <formula>$A$151=71</formula>
    </cfRule>
  </conditionalFormatting>
  <conditionalFormatting sqref="B154:B157">
    <cfRule type="expression" priority="178" dxfId="106" stopIfTrue="1">
      <formula>$A$155=73</formula>
    </cfRule>
  </conditionalFormatting>
  <conditionalFormatting sqref="B158:B161">
    <cfRule type="expression" priority="179" dxfId="11" stopIfTrue="1">
      <formula>$A$159=75</formula>
    </cfRule>
  </conditionalFormatting>
  <conditionalFormatting sqref="B162:B165">
    <cfRule type="expression" priority="180" dxfId="106" stopIfTrue="1">
      <formula>$A$163=77</formula>
    </cfRule>
  </conditionalFormatting>
  <conditionalFormatting sqref="B166:B169">
    <cfRule type="expression" priority="181" dxfId="11" stopIfTrue="1">
      <formula>$A$167=79</formula>
    </cfRule>
  </conditionalFormatting>
  <conditionalFormatting sqref="B170:B173">
    <cfRule type="expression" priority="182" dxfId="106" stopIfTrue="1">
      <formula>$A$171=81</formula>
    </cfRule>
  </conditionalFormatting>
  <conditionalFormatting sqref="B174:B177">
    <cfRule type="expression" priority="183" dxfId="11" stopIfTrue="1">
      <formula>$A$175=83</formula>
    </cfRule>
  </conditionalFormatting>
  <conditionalFormatting sqref="B178:B181">
    <cfRule type="expression" priority="184" dxfId="106" stopIfTrue="1">
      <formula>$A$179=85</formula>
    </cfRule>
  </conditionalFormatting>
  <conditionalFormatting sqref="B182:B185">
    <cfRule type="expression" priority="185" dxfId="11" stopIfTrue="1">
      <formula>$A$183=87</formula>
    </cfRule>
  </conditionalFormatting>
  <conditionalFormatting sqref="B186:B189">
    <cfRule type="expression" priority="186" dxfId="106" stopIfTrue="1">
      <formula>$A$187=89</formula>
    </cfRule>
  </conditionalFormatting>
  <conditionalFormatting sqref="B190:B193">
    <cfRule type="expression" priority="187" dxfId="11" stopIfTrue="1">
      <formula>$A$191=91</formula>
    </cfRule>
  </conditionalFormatting>
  <conditionalFormatting sqref="B194:B197">
    <cfRule type="expression" priority="188" dxfId="106" stopIfTrue="1">
      <formula>$A$195=93</formula>
    </cfRule>
  </conditionalFormatting>
  <conditionalFormatting sqref="B198:B201">
    <cfRule type="expression" priority="189" dxfId="11" stopIfTrue="1">
      <formula>$A$199=95</formula>
    </cfRule>
  </conditionalFormatting>
  <conditionalFormatting sqref="B205:B208">
    <cfRule type="expression" priority="190" dxfId="106" stopIfTrue="1">
      <formula>$A$206=97</formula>
    </cfRule>
  </conditionalFormatting>
  <conditionalFormatting sqref="B209:B212">
    <cfRule type="expression" priority="191" dxfId="11" stopIfTrue="1">
      <formula>$A$210=99</formula>
    </cfRule>
  </conditionalFormatting>
  <conditionalFormatting sqref="B213:B216">
    <cfRule type="expression" priority="192" dxfId="106" stopIfTrue="1">
      <formula>$A$214=101</formula>
    </cfRule>
  </conditionalFormatting>
  <conditionalFormatting sqref="B217:B220">
    <cfRule type="expression" priority="193" dxfId="11" stopIfTrue="1">
      <formula>$A$218=103</formula>
    </cfRule>
  </conditionalFormatting>
  <conditionalFormatting sqref="B221:B224">
    <cfRule type="expression" priority="194" dxfId="106" stopIfTrue="1">
      <formula>$A$222=105</formula>
    </cfRule>
  </conditionalFormatting>
  <conditionalFormatting sqref="B225:B228">
    <cfRule type="expression" priority="195" dxfId="11" stopIfTrue="1">
      <formula>$A$226=107</formula>
    </cfRule>
  </conditionalFormatting>
  <conditionalFormatting sqref="B229:B232">
    <cfRule type="expression" priority="196" dxfId="106" stopIfTrue="1">
      <formula>$A$230=109</formula>
    </cfRule>
  </conditionalFormatting>
  <conditionalFormatting sqref="B233:B236">
    <cfRule type="expression" priority="197" dxfId="11" stopIfTrue="1">
      <formula>$A$234=111</formula>
    </cfRule>
  </conditionalFormatting>
  <conditionalFormatting sqref="B237:B240">
    <cfRule type="expression" priority="198" dxfId="106" stopIfTrue="1">
      <formula>$A$238=113</formula>
    </cfRule>
  </conditionalFormatting>
  <conditionalFormatting sqref="B241:B244">
    <cfRule type="expression" priority="199" dxfId="11" stopIfTrue="1">
      <formula>$A$242=115</formula>
    </cfRule>
  </conditionalFormatting>
  <conditionalFormatting sqref="B245:B248">
    <cfRule type="expression" priority="200" dxfId="106" stopIfTrue="1">
      <formula>$A$246=117</formula>
    </cfRule>
  </conditionalFormatting>
  <conditionalFormatting sqref="B249:B252">
    <cfRule type="expression" priority="201" dxfId="11" stopIfTrue="1">
      <formula>$A$250=119</formula>
    </cfRule>
  </conditionalFormatting>
  <conditionalFormatting sqref="B253:B256">
    <cfRule type="expression" priority="202" dxfId="106" stopIfTrue="1">
      <formula>$A$254=121</formula>
    </cfRule>
  </conditionalFormatting>
  <conditionalFormatting sqref="B257:B260">
    <cfRule type="expression" priority="203" dxfId="11" stopIfTrue="1">
      <formula>$A$258=123</formula>
    </cfRule>
  </conditionalFormatting>
  <conditionalFormatting sqref="B261:B264">
    <cfRule type="expression" priority="204" dxfId="106" stopIfTrue="1">
      <formula>$A$262=125</formula>
    </cfRule>
  </conditionalFormatting>
  <conditionalFormatting sqref="B265:B268">
    <cfRule type="expression" priority="205" dxfId="11" stopIfTrue="1">
      <formula>$A$266=127</formula>
    </cfRule>
  </conditionalFormatting>
  <conditionalFormatting sqref="G103:G104">
    <cfRule type="cellIs" priority="206" dxfId="920" operator="equal" stopIfTrue="1">
      <formula>62</formula>
    </cfRule>
    <cfRule type="cellIs" priority="207" dxfId="920" operator="equal" stopIfTrue="1">
      <formula>122</formula>
    </cfRule>
  </conditionalFormatting>
  <conditionalFormatting sqref="G36:G37">
    <cfRule type="cellIs" priority="208" dxfId="920" operator="equal" stopIfTrue="1">
      <formula>121</formula>
    </cfRule>
    <cfRule type="cellIs" priority="209" dxfId="920" operator="equal" stopIfTrue="1">
      <formula>61</formula>
    </cfRule>
    <cfRule type="cellIs" priority="210" dxfId="920" operator="equal" stopIfTrue="1">
      <formula>31</formula>
    </cfRule>
  </conditionalFormatting>
  <conditionalFormatting sqref="C278:D278">
    <cfRule type="expression" priority="211" dxfId="888" stopIfTrue="1">
      <formula>$A$278=121</formula>
    </cfRule>
  </conditionalFormatting>
  <conditionalFormatting sqref="C284">
    <cfRule type="expression" priority="212" dxfId="888" stopIfTrue="1">
      <formula>$A$284=122</formula>
    </cfRule>
  </conditionalFormatting>
  <conditionalFormatting sqref="D279:D283 D293:D294">
    <cfRule type="expression" priority="213" dxfId="886" stopIfTrue="1">
      <formula>$A$278=121</formula>
    </cfRule>
  </conditionalFormatting>
  <conditionalFormatting sqref="E281">
    <cfRule type="expression" priority="214" dxfId="888" stopIfTrue="1">
      <formula>$D$281=125</formula>
    </cfRule>
  </conditionalFormatting>
  <conditionalFormatting sqref="D284">
    <cfRule type="expression" priority="215" dxfId="889" stopIfTrue="1">
      <formula>$A$278=121</formula>
    </cfRule>
  </conditionalFormatting>
  <conditionalFormatting sqref="D291:D292 D295">
    <cfRule type="expression" priority="216" dxfId="886" stopIfTrue="1">
      <formula>$A$290=123</formula>
    </cfRule>
  </conditionalFormatting>
  <conditionalFormatting sqref="D296">
    <cfRule type="expression" priority="217" dxfId="889" stopIfTrue="1">
      <formula>$A$296=124</formula>
    </cfRule>
  </conditionalFormatting>
  <conditionalFormatting sqref="E282:E292">
    <cfRule type="expression" priority="218" dxfId="886" stopIfTrue="1">
      <formula>$D$281=125</formula>
    </cfRule>
  </conditionalFormatting>
  <conditionalFormatting sqref="E293">
    <cfRule type="expression" priority="219" dxfId="889" stopIfTrue="1">
      <formula>$D$293=126</formula>
    </cfRule>
  </conditionalFormatting>
  <conditionalFormatting sqref="F286">
    <cfRule type="expression" priority="220" dxfId="124" stopIfTrue="1">
      <formula>$E$287=127</formula>
    </cfRule>
  </conditionalFormatting>
  <conditionalFormatting sqref="F287">
    <cfRule type="expression" priority="221" dxfId="928" stopIfTrue="1">
      <formula>$E$287=127</formula>
    </cfRule>
  </conditionalFormatting>
  <conditionalFormatting sqref="B140">
    <cfRule type="expression" priority="222" dxfId="106" stopIfTrue="1">
      <formula>$A$139=65</formula>
    </cfRule>
    <cfRule type="expression" priority="223" dxfId="888" stopIfTrue="1">
      <formula>$A$140=61</formula>
    </cfRule>
  </conditionalFormatting>
  <conditionalFormatting sqref="B148">
    <cfRule type="expression" priority="224" dxfId="106" stopIfTrue="1">
      <formula>$A$147=69</formula>
    </cfRule>
    <cfRule type="expression" priority="225" dxfId="888" stopIfTrue="1">
      <formula>$A$148=62</formula>
    </cfRule>
  </conditionalFormatting>
  <conditionalFormatting sqref="B141">
    <cfRule type="expression" priority="226" dxfId="106" stopIfTrue="1">
      <formula>$A$139=65</formula>
    </cfRule>
    <cfRule type="expression" priority="227" dxfId="888" stopIfTrue="1">
      <formula>$A$141=61</formula>
    </cfRule>
  </conditionalFormatting>
  <conditionalFormatting sqref="A141 C140">
    <cfRule type="expression" priority="228" dxfId="920" stopIfTrue="1">
      <formula>$A$141=61</formula>
    </cfRule>
  </conditionalFormatting>
  <conditionalFormatting sqref="D140:D141">
    <cfRule type="expression" priority="229" dxfId="907" stopIfTrue="1">
      <formula>$A$139=65</formula>
    </cfRule>
    <cfRule type="expression" priority="230" dxfId="888" stopIfTrue="1">
      <formula>$A$141=61</formula>
    </cfRule>
  </conditionalFormatting>
  <conditionalFormatting sqref="B149">
    <cfRule type="expression" priority="231" dxfId="106" stopIfTrue="1">
      <formula>$A$147=69</formula>
    </cfRule>
    <cfRule type="expression" priority="232" dxfId="888" stopIfTrue="1">
      <formula>$A$149=62</formula>
    </cfRule>
  </conditionalFormatting>
  <conditionalFormatting sqref="C149">
    <cfRule type="expression" priority="233" dxfId="888" stopIfTrue="1">
      <formula>$A$139=65</formula>
    </cfRule>
    <cfRule type="expression" priority="234" dxfId="888" stopIfTrue="1">
      <formula>$A$149=62</formula>
    </cfRule>
  </conditionalFormatting>
  <conditionalFormatting sqref="B151">
    <cfRule type="expression" priority="235" dxfId="11" stopIfTrue="1">
      <formula>$A$151=71</formula>
    </cfRule>
    <cfRule type="expression" priority="236" dxfId="888" stopIfTrue="1">
      <formula>$A$151=62</formula>
    </cfRule>
  </conditionalFormatting>
  <conditionalFormatting sqref="D151">
    <cfRule type="expression" priority="237" dxfId="889" stopIfTrue="1">
      <formula>$A$151=62</formula>
    </cfRule>
  </conditionalFormatting>
  <conditionalFormatting sqref="C141">
    <cfRule type="expression" priority="238" dxfId="888" stopIfTrue="1">
      <formula>$A$139=65</formula>
    </cfRule>
    <cfRule type="expression" priority="239" dxfId="917" stopIfTrue="1">
      <formula>$A$141=61</formula>
    </cfRule>
  </conditionalFormatting>
  <conditionalFormatting sqref="C151">
    <cfRule type="expression" priority="240" dxfId="888" stopIfTrue="1">
      <formula>$A$139=65</formula>
    </cfRule>
    <cfRule type="expression" priority="241" dxfId="917" stopIfTrue="1">
      <formula>$A$151=62</formula>
    </cfRule>
  </conditionalFormatting>
  <conditionalFormatting sqref="E146">
    <cfRule type="expression" priority="242" dxfId="928" stopIfTrue="1">
      <formula>$D$146=63</formula>
    </cfRule>
  </conditionalFormatting>
  <conditionalFormatting sqref="D142:D143">
    <cfRule type="expression" priority="243" dxfId="887" stopIfTrue="1">
      <formula>$A$141=61</formula>
    </cfRule>
  </conditionalFormatting>
  <conditionalFormatting sqref="D144:D145">
    <cfRule type="expression" priority="244" dxfId="907" stopIfTrue="1">
      <formula>$A$139=65</formula>
    </cfRule>
    <cfRule type="expression" priority="245" dxfId="886" stopIfTrue="1">
      <formula>$A$141=61</formula>
    </cfRule>
  </conditionalFormatting>
  <conditionalFormatting sqref="D147 D150">
    <cfRule type="expression" priority="246" dxfId="886" stopIfTrue="1">
      <formula>$A$141=61</formula>
    </cfRule>
  </conditionalFormatting>
  <conditionalFormatting sqref="D146">
    <cfRule type="expression" priority="247" dxfId="910" stopIfTrue="1">
      <formula>$A$141=61</formula>
    </cfRule>
  </conditionalFormatting>
  <conditionalFormatting sqref="D148:D149">
    <cfRule type="expression" priority="248" dxfId="907" stopIfTrue="1">
      <formula>$A$139=65</formula>
    </cfRule>
    <cfRule type="expression" priority="249" dxfId="887" stopIfTrue="1">
      <formula>$A$141=61</formula>
    </cfRule>
  </conditionalFormatting>
  <conditionalFormatting sqref="E145">
    <cfRule type="expression" priority="250" dxfId="929" stopIfTrue="1">
      <formula>$D$146=63</formula>
    </cfRule>
  </conditionalFormatting>
  <conditionalFormatting sqref="C150">
    <cfRule type="expression" priority="251" dxfId="920" stopIfTrue="1">
      <formula>$A$151=62</formula>
    </cfRule>
  </conditionalFormatting>
  <conditionalFormatting sqref="E147">
    <cfRule type="expression" priority="252" dxfId="920" stopIfTrue="1">
      <formula>$D$146=63</formula>
    </cfRule>
  </conditionalFormatting>
  <conditionalFormatting sqref="C5:D5">
    <cfRule type="expression" priority="253" dxfId="905" stopIfTrue="1">
      <formula>$A$5=1</formula>
    </cfRule>
  </conditionalFormatting>
  <conditionalFormatting sqref="C4:D4 B4:B7">
    <cfRule type="expression" priority="254" dxfId="106" stopIfTrue="1">
      <formula>$A$5=1</formula>
    </cfRule>
  </conditionalFormatting>
  <conditionalFormatting sqref="C7">
    <cfRule type="expression" priority="255" dxfId="888" stopIfTrue="1">
      <formula>$A$7=2</formula>
    </cfRule>
  </conditionalFormatting>
  <conditionalFormatting sqref="D6:D7">
    <cfRule type="expression" priority="256" dxfId="889" stopIfTrue="1">
      <formula>$A$7=2</formula>
    </cfRule>
  </conditionalFormatting>
  <conditionalFormatting sqref="B8:B11">
    <cfRule type="expression" priority="257" dxfId="11" stopIfTrue="1">
      <formula>$A$9=3</formula>
    </cfRule>
  </conditionalFormatting>
  <conditionalFormatting sqref="C9:D9">
    <cfRule type="expression" priority="258" dxfId="888" stopIfTrue="1">
      <formula>$A$9=3</formula>
    </cfRule>
  </conditionalFormatting>
  <conditionalFormatting sqref="G11">
    <cfRule type="expression" priority="259" dxfId="924" stopIfTrue="1">
      <formula>$F$12=7</formula>
    </cfRule>
  </conditionalFormatting>
  <conditionalFormatting sqref="G9:G10 G13:G16">
    <cfRule type="expression" priority="260" dxfId="884" stopIfTrue="1">
      <formula>$F$12=7</formula>
    </cfRule>
  </conditionalFormatting>
  <conditionalFormatting sqref="C13:D13 C15 E14">
    <cfRule type="expression" priority="261" dxfId="888" stopIfTrue="1">
      <formula>$A$13=5</formula>
    </cfRule>
  </conditionalFormatting>
  <conditionalFormatting sqref="D14:D15 F16">
    <cfRule type="expression" priority="262" dxfId="889" stopIfTrue="1">
      <formula>$A$13=5</formula>
    </cfRule>
  </conditionalFormatting>
  <conditionalFormatting sqref="C17:D17 C19">
    <cfRule type="expression" priority="263" dxfId="888" stopIfTrue="1">
      <formula>$A$17=7</formula>
    </cfRule>
  </conditionalFormatting>
  <conditionalFormatting sqref="D18:D19 E18">
    <cfRule type="expression" priority="264" dxfId="889" stopIfTrue="1">
      <formula>$A$17=7</formula>
    </cfRule>
  </conditionalFormatting>
  <conditionalFormatting sqref="C11">
    <cfRule type="expression" priority="265" dxfId="915" stopIfTrue="1">
      <formula>$A$9=3</formula>
    </cfRule>
  </conditionalFormatting>
  <conditionalFormatting sqref="D10:D11">
    <cfRule type="expression" priority="266" dxfId="916" stopIfTrue="1">
      <formula>$A$9=3</formula>
    </cfRule>
  </conditionalFormatting>
  <conditionalFormatting sqref="C10">
    <cfRule type="expression" priority="267" dxfId="107" stopIfTrue="1">
      <formula>$A$9=3</formula>
    </cfRule>
  </conditionalFormatting>
  <conditionalFormatting sqref="B12:B15">
    <cfRule type="expression" priority="268" dxfId="106" stopIfTrue="1">
      <formula>$A$13=5</formula>
    </cfRule>
  </conditionalFormatting>
  <conditionalFormatting sqref="B16:B19">
    <cfRule type="expression" priority="269" dxfId="11" stopIfTrue="1">
      <formula>$A$17=7</formula>
    </cfRule>
  </conditionalFormatting>
  <conditionalFormatting sqref="E6 F8">
    <cfRule type="expression" priority="270" dxfId="888" stopIfTrue="1">
      <formula>$A$5=1</formula>
    </cfRule>
  </conditionalFormatting>
  <conditionalFormatting sqref="E10">
    <cfRule type="expression" priority="271" dxfId="889" stopIfTrue="1">
      <formula>$A$9=3</formula>
    </cfRule>
  </conditionalFormatting>
  <conditionalFormatting sqref="E7:E9">
    <cfRule type="expression" priority="272" dxfId="886" stopIfTrue="1">
      <formula>$A$5=1</formula>
    </cfRule>
  </conditionalFormatting>
  <conditionalFormatting sqref="E15:E17 F9:F11 F14:F15">
    <cfRule type="expression" priority="273" dxfId="886" stopIfTrue="1">
      <formula>$A$13=5</formula>
    </cfRule>
  </conditionalFormatting>
  <conditionalFormatting sqref="F12:F13">
    <cfRule type="cellIs" priority="274" dxfId="920" operator="equal" stopIfTrue="1">
      <formula>7</formula>
    </cfRule>
    <cfRule type="expression" priority="275" dxfId="886" stopIfTrue="1">
      <formula>$A$13=5</formula>
    </cfRule>
  </conditionalFormatting>
  <conditionalFormatting sqref="G12">
    <cfRule type="expression" priority="276" dxfId="890" stopIfTrue="1">
      <formula>$F$12=7</formula>
    </cfRule>
    <cfRule type="expression" priority="277" dxfId="888" stopIfTrue="1">
      <formula>$A$13=5</formula>
    </cfRule>
  </conditionalFormatting>
  <conditionalFormatting sqref="C67">
    <cfRule type="expression" priority="96" dxfId="930" stopIfTrue="1">
      <formula>$A$37=17</formula>
    </cfRule>
  </conditionalFormatting>
  <conditionalFormatting sqref="D152:D153">
    <cfRule type="expression" priority="95" dxfId="907" stopIfTrue="1">
      <formula>$A$139=65</formula>
    </cfRule>
  </conditionalFormatting>
  <conditionalFormatting sqref="D152:D153">
    <cfRule type="expression" priority="94" dxfId="907" stopIfTrue="1">
      <formula>$A$139=65</formula>
    </cfRule>
  </conditionalFormatting>
  <conditionalFormatting sqref="D156:D157">
    <cfRule type="expression" priority="93" dxfId="907" stopIfTrue="1">
      <formula>$A$139=65</formula>
    </cfRule>
  </conditionalFormatting>
  <conditionalFormatting sqref="D156:D157">
    <cfRule type="expression" priority="92" dxfId="907" stopIfTrue="1">
      <formula>$A$139=65</formula>
    </cfRule>
  </conditionalFormatting>
  <conditionalFormatting sqref="D160:D161">
    <cfRule type="expression" priority="91" dxfId="907" stopIfTrue="1">
      <formula>$A$139=65</formula>
    </cfRule>
  </conditionalFormatting>
  <conditionalFormatting sqref="D160:D161">
    <cfRule type="expression" priority="90" dxfId="907" stopIfTrue="1">
      <formula>$A$139=65</formula>
    </cfRule>
  </conditionalFormatting>
  <conditionalFormatting sqref="D164:D165">
    <cfRule type="expression" priority="89" dxfId="907" stopIfTrue="1">
      <formula>$A$139=65</formula>
    </cfRule>
  </conditionalFormatting>
  <conditionalFormatting sqref="D164:D165">
    <cfRule type="expression" priority="88" dxfId="907" stopIfTrue="1">
      <formula>$A$139=65</formula>
    </cfRule>
  </conditionalFormatting>
  <conditionalFormatting sqref="D168:D169">
    <cfRule type="expression" priority="87" dxfId="933" stopIfTrue="1">
      <formula>$A$139=65</formula>
    </cfRule>
  </conditionalFormatting>
  <conditionalFormatting sqref="D172:D173">
    <cfRule type="expression" priority="86" dxfId="907" stopIfTrue="1">
      <formula>$A$139=65</formula>
    </cfRule>
  </conditionalFormatting>
  <conditionalFormatting sqref="D176:D177">
    <cfRule type="expression" priority="85" dxfId="907" stopIfTrue="1">
      <formula>$A$139=65</formula>
    </cfRule>
  </conditionalFormatting>
  <conditionalFormatting sqref="D180:D181">
    <cfRule type="expression" priority="84" dxfId="907" stopIfTrue="1">
      <formula>$A$139=65</formula>
    </cfRule>
  </conditionalFormatting>
  <conditionalFormatting sqref="D184:D185">
    <cfRule type="expression" priority="83" dxfId="907" stopIfTrue="1">
      <formula>$A$139=65</formula>
    </cfRule>
  </conditionalFormatting>
  <conditionalFormatting sqref="D188:D189">
    <cfRule type="expression" priority="82" dxfId="907" stopIfTrue="1">
      <formula>$A$139=65</formula>
    </cfRule>
  </conditionalFormatting>
  <conditionalFormatting sqref="D192:D193">
    <cfRule type="expression" priority="81" dxfId="907" stopIfTrue="1">
      <formula>$A$139=65</formula>
    </cfRule>
  </conditionalFormatting>
  <conditionalFormatting sqref="D196:D197">
    <cfRule type="expression" priority="80" dxfId="907" stopIfTrue="1">
      <formula>$A$139=65</formula>
    </cfRule>
  </conditionalFormatting>
  <conditionalFormatting sqref="D200:D201">
    <cfRule type="expression" priority="79" dxfId="933" stopIfTrue="1">
      <formula>$A$139=65</formula>
    </cfRule>
  </conditionalFormatting>
  <conditionalFormatting sqref="D235:D236">
    <cfRule type="expression" priority="78" dxfId="933" stopIfTrue="1">
      <formula>$A$139=65</formula>
    </cfRule>
  </conditionalFormatting>
  <conditionalFormatting sqref="D267:D268">
    <cfRule type="expression" priority="77" dxfId="933" stopIfTrue="1">
      <formula>$A$139=65</formula>
    </cfRule>
  </conditionalFormatting>
  <conditionalFormatting sqref="C169">
    <cfRule type="expression" priority="76" dxfId="930" stopIfTrue="1">
      <formula>$A$139=65</formula>
    </cfRule>
  </conditionalFormatting>
  <conditionalFormatting sqref="C171">
    <cfRule type="expression" priority="75" dxfId="934" stopIfTrue="1">
      <formula>$A$139=65</formula>
    </cfRule>
  </conditionalFormatting>
  <conditionalFormatting sqref="C201">
    <cfRule type="expression" priority="74" dxfId="930" stopIfTrue="1">
      <formula>$A$139=65</formula>
    </cfRule>
  </conditionalFormatting>
  <conditionalFormatting sqref="C206">
    <cfRule type="expression" priority="73" dxfId="934" stopIfTrue="1">
      <formula>$A$139=65</formula>
    </cfRule>
  </conditionalFormatting>
  <conditionalFormatting sqref="C236">
    <cfRule type="expression" priority="72" dxfId="930" stopIfTrue="1">
      <formula>$A$139=65</formula>
    </cfRule>
  </conditionalFormatting>
  <conditionalFormatting sqref="C238">
    <cfRule type="expression" priority="71" dxfId="934" stopIfTrue="1">
      <formula>$A$139=65</formula>
    </cfRule>
  </conditionalFormatting>
  <conditionalFormatting sqref="C268">
    <cfRule type="expression" priority="70" dxfId="930" stopIfTrue="1">
      <formula>$A$139=65</formula>
    </cfRule>
  </conditionalFormatting>
  <conditionalFormatting sqref="C267">
    <cfRule type="expression" priority="69" dxfId="1" stopIfTrue="1">
      <formula>$A$139=65</formula>
    </cfRule>
  </conditionalFormatting>
  <conditionalFormatting sqref="C235">
    <cfRule type="expression" priority="68" dxfId="1" stopIfTrue="1">
      <formula>$A$139=65</formula>
    </cfRule>
  </conditionalFormatting>
  <conditionalFormatting sqref="C237">
    <cfRule type="expression" priority="67" dxfId="64" stopIfTrue="1">
      <formula>$A$139=65</formula>
    </cfRule>
  </conditionalFormatting>
  <conditionalFormatting sqref="C205">
    <cfRule type="expression" priority="66" dxfId="64" stopIfTrue="1">
      <formula>$A$139=65</formula>
    </cfRule>
  </conditionalFormatting>
  <conditionalFormatting sqref="C200">
    <cfRule type="expression" priority="65" dxfId="1" stopIfTrue="1">
      <formula>$A$139=65</formula>
    </cfRule>
  </conditionalFormatting>
  <conditionalFormatting sqref="C170">
    <cfRule type="expression" priority="64" dxfId="64" stopIfTrue="1">
      <formula>$A$139=65</formula>
    </cfRule>
  </conditionalFormatting>
  <conditionalFormatting sqref="C168">
    <cfRule type="expression" priority="63" dxfId="1" stopIfTrue="1">
      <formula>$A$139=65</formula>
    </cfRule>
  </conditionalFormatting>
  <conditionalFormatting sqref="B166">
    <cfRule type="expression" priority="62" dxfId="11" stopIfTrue="1">
      <formula>$A$159=75</formula>
    </cfRule>
  </conditionalFormatting>
  <conditionalFormatting sqref="B168">
    <cfRule type="expression" priority="61" dxfId="11" stopIfTrue="1">
      <formula>$A$159=75</formula>
    </cfRule>
  </conditionalFormatting>
  <conditionalFormatting sqref="B174">
    <cfRule type="expression" priority="60" dxfId="11" stopIfTrue="1">
      <formula>$A$159=75</formula>
    </cfRule>
  </conditionalFormatting>
  <conditionalFormatting sqref="B176">
    <cfRule type="expression" priority="59" dxfId="11" stopIfTrue="1">
      <formula>$A$159=75</formula>
    </cfRule>
  </conditionalFormatting>
  <conditionalFormatting sqref="B182">
    <cfRule type="expression" priority="58" dxfId="11" stopIfTrue="1">
      <formula>$A$159=75</formula>
    </cfRule>
  </conditionalFormatting>
  <conditionalFormatting sqref="B184">
    <cfRule type="expression" priority="57" dxfId="11" stopIfTrue="1">
      <formula>$A$159=75</formula>
    </cfRule>
  </conditionalFormatting>
  <conditionalFormatting sqref="B190">
    <cfRule type="expression" priority="56" dxfId="11" stopIfTrue="1">
      <formula>$A$159=75</formula>
    </cfRule>
  </conditionalFormatting>
  <conditionalFormatting sqref="B192">
    <cfRule type="expression" priority="55" dxfId="11" stopIfTrue="1">
      <formula>$A$159=75</formula>
    </cfRule>
  </conditionalFormatting>
  <conditionalFormatting sqref="B198">
    <cfRule type="expression" priority="54" dxfId="11" stopIfTrue="1">
      <formula>$A$159=75</formula>
    </cfRule>
  </conditionalFormatting>
  <conditionalFormatting sqref="B200">
    <cfRule type="expression" priority="53" dxfId="11" stopIfTrue="1">
      <formula>$A$159=75</formula>
    </cfRule>
  </conditionalFormatting>
  <conditionalFormatting sqref="B209">
    <cfRule type="expression" priority="52" dxfId="11" stopIfTrue="1">
      <formula>$A$159=75</formula>
    </cfRule>
  </conditionalFormatting>
  <conditionalFormatting sqref="B211">
    <cfRule type="expression" priority="51" dxfId="11" stopIfTrue="1">
      <formula>$A$159=75</formula>
    </cfRule>
  </conditionalFormatting>
  <conditionalFormatting sqref="B217">
    <cfRule type="expression" priority="50" dxfId="11" stopIfTrue="1">
      <formula>$A$159=75</formula>
    </cfRule>
  </conditionalFormatting>
  <conditionalFormatting sqref="B219">
    <cfRule type="expression" priority="49" dxfId="11" stopIfTrue="1">
      <formula>$A$159=75</formula>
    </cfRule>
  </conditionalFormatting>
  <conditionalFormatting sqref="B225">
    <cfRule type="expression" priority="48" dxfId="11" stopIfTrue="1">
      <formula>$A$159=75</formula>
    </cfRule>
  </conditionalFormatting>
  <conditionalFormatting sqref="B227">
    <cfRule type="expression" priority="47" dxfId="11" stopIfTrue="1">
      <formula>$A$159=75</formula>
    </cfRule>
  </conditionalFormatting>
  <conditionalFormatting sqref="B233">
    <cfRule type="expression" priority="46" dxfId="11" stopIfTrue="1">
      <formula>$A$159=75</formula>
    </cfRule>
  </conditionalFormatting>
  <conditionalFormatting sqref="B235">
    <cfRule type="expression" priority="45" dxfId="11" stopIfTrue="1">
      <formula>$A$159=75</formula>
    </cfRule>
  </conditionalFormatting>
  <conditionalFormatting sqref="B241">
    <cfRule type="expression" priority="44" dxfId="11" stopIfTrue="1">
      <formula>$A$159=75</formula>
    </cfRule>
  </conditionalFormatting>
  <conditionalFormatting sqref="B243">
    <cfRule type="expression" priority="43" dxfId="11" stopIfTrue="1">
      <formula>$A$159=75</formula>
    </cfRule>
  </conditionalFormatting>
  <conditionalFormatting sqref="B249">
    <cfRule type="expression" priority="42" dxfId="11" stopIfTrue="1">
      <formula>$A$159=75</formula>
    </cfRule>
  </conditionalFormatting>
  <conditionalFormatting sqref="B251">
    <cfRule type="expression" priority="41" dxfId="11" stopIfTrue="1">
      <formula>$A$159=75</formula>
    </cfRule>
  </conditionalFormatting>
  <conditionalFormatting sqref="B257">
    <cfRule type="expression" priority="40" dxfId="11" stopIfTrue="1">
      <formula>$A$159=75</formula>
    </cfRule>
  </conditionalFormatting>
  <conditionalFormatting sqref="B259">
    <cfRule type="expression" priority="39" dxfId="11" stopIfTrue="1">
      <formula>$A$159=75</formula>
    </cfRule>
  </conditionalFormatting>
  <conditionalFormatting sqref="B265">
    <cfRule type="expression" priority="38" dxfId="11" stopIfTrue="1">
      <formula>$A$159=75</formula>
    </cfRule>
  </conditionalFormatting>
  <conditionalFormatting sqref="B267">
    <cfRule type="expression" priority="37" dxfId="11" stopIfTrue="1">
      <formula>$A$159=75</formula>
    </cfRule>
  </conditionalFormatting>
  <conditionalFormatting sqref="B167">
    <cfRule type="expression" priority="36" dxfId="11" stopIfTrue="1">
      <formula>$A$159=75</formula>
    </cfRule>
  </conditionalFormatting>
  <conditionalFormatting sqref="B169">
    <cfRule type="expression" priority="35" dxfId="11" stopIfTrue="1">
      <formula>$A$159=75</formula>
    </cfRule>
  </conditionalFormatting>
  <conditionalFormatting sqref="B175">
    <cfRule type="expression" priority="34" dxfId="11" stopIfTrue="1">
      <formula>$A$159=75</formula>
    </cfRule>
  </conditionalFormatting>
  <conditionalFormatting sqref="B177">
    <cfRule type="expression" priority="33" dxfId="11" stopIfTrue="1">
      <formula>$A$159=75</formula>
    </cfRule>
  </conditionalFormatting>
  <conditionalFormatting sqref="B183">
    <cfRule type="expression" priority="32" dxfId="11" stopIfTrue="1">
      <formula>$A$159=75</formula>
    </cfRule>
  </conditionalFormatting>
  <conditionalFormatting sqref="B185">
    <cfRule type="expression" priority="31" dxfId="11" stopIfTrue="1">
      <formula>$A$159=75</formula>
    </cfRule>
  </conditionalFormatting>
  <conditionalFormatting sqref="B191">
    <cfRule type="expression" priority="30" dxfId="11" stopIfTrue="1">
      <formula>$A$159=75</formula>
    </cfRule>
  </conditionalFormatting>
  <conditionalFormatting sqref="B193">
    <cfRule type="expression" priority="29" dxfId="11" stopIfTrue="1">
      <formula>$A$159=75</formula>
    </cfRule>
  </conditionalFormatting>
  <conditionalFormatting sqref="B199">
    <cfRule type="expression" priority="28" dxfId="11" stopIfTrue="1">
      <formula>$A$159=75</formula>
    </cfRule>
  </conditionalFormatting>
  <conditionalFormatting sqref="B201">
    <cfRule type="expression" priority="27" dxfId="11" stopIfTrue="1">
      <formula>$A$159=75</formula>
    </cfRule>
  </conditionalFormatting>
  <conditionalFormatting sqref="B210">
    <cfRule type="expression" priority="26" dxfId="11" stopIfTrue="1">
      <formula>$A$159=75</formula>
    </cfRule>
  </conditionalFormatting>
  <conditionalFormatting sqref="B212">
    <cfRule type="expression" priority="25" dxfId="11" stopIfTrue="1">
      <formula>$A$159=75</formula>
    </cfRule>
  </conditionalFormatting>
  <conditionalFormatting sqref="B218">
    <cfRule type="expression" priority="24" dxfId="11" stopIfTrue="1">
      <formula>$A$159=75</formula>
    </cfRule>
  </conditionalFormatting>
  <conditionalFormatting sqref="B220">
    <cfRule type="expression" priority="23" dxfId="11" stopIfTrue="1">
      <formula>$A$159=75</formula>
    </cfRule>
  </conditionalFormatting>
  <conditionalFormatting sqref="B226">
    <cfRule type="expression" priority="22" dxfId="11" stopIfTrue="1">
      <formula>$A$159=75</formula>
    </cfRule>
  </conditionalFormatting>
  <conditionalFormatting sqref="B228">
    <cfRule type="expression" priority="21" dxfId="11" stopIfTrue="1">
      <formula>$A$159=75</formula>
    </cfRule>
  </conditionalFormatting>
  <conditionalFormatting sqref="B234">
    <cfRule type="expression" priority="20" dxfId="11" stopIfTrue="1">
      <formula>$A$159=75</formula>
    </cfRule>
  </conditionalFormatting>
  <conditionalFormatting sqref="B236">
    <cfRule type="expression" priority="19" dxfId="11" stopIfTrue="1">
      <formula>$A$159=75</formula>
    </cfRule>
  </conditionalFormatting>
  <conditionalFormatting sqref="B242">
    <cfRule type="expression" priority="18" dxfId="11" stopIfTrue="1">
      <formula>$A$159=75</formula>
    </cfRule>
  </conditionalFormatting>
  <conditionalFormatting sqref="B244">
    <cfRule type="expression" priority="17" dxfId="11" stopIfTrue="1">
      <formula>$A$159=75</formula>
    </cfRule>
  </conditionalFormatting>
  <conditionalFormatting sqref="B250">
    <cfRule type="expression" priority="16" dxfId="11" stopIfTrue="1">
      <formula>$A$159=75</formula>
    </cfRule>
  </conditionalFormatting>
  <conditionalFormatting sqref="B252">
    <cfRule type="expression" priority="15" dxfId="11" stopIfTrue="1">
      <formula>$A$159=75</formula>
    </cfRule>
  </conditionalFormatting>
  <conditionalFormatting sqref="B258">
    <cfRule type="expression" priority="14" dxfId="11" stopIfTrue="1">
      <formula>$A$159=75</formula>
    </cfRule>
  </conditionalFormatting>
  <conditionalFormatting sqref="B260">
    <cfRule type="expression" priority="13" dxfId="11" stopIfTrue="1">
      <formula>$A$159=75</formula>
    </cfRule>
  </conditionalFormatting>
  <conditionalFormatting sqref="B266">
    <cfRule type="expression" priority="12" dxfId="11" stopIfTrue="1">
      <formula>$A$159=75</formula>
    </cfRule>
  </conditionalFormatting>
  <conditionalFormatting sqref="B268">
    <cfRule type="expression" priority="11" dxfId="11" stopIfTrue="1">
      <formula>$A$159=75</formula>
    </cfRule>
  </conditionalFormatting>
  <conditionalFormatting sqref="G170:G171">
    <cfRule type="cellIs" priority="10" dxfId="935" operator="equal" stopIfTrue="1">
      <formula>123</formula>
    </cfRule>
  </conditionalFormatting>
  <conditionalFormatting sqref="G237:G238">
    <cfRule type="cellIs" priority="9" dxfId="935" operator="equal" stopIfTrue="1">
      <formula>124</formula>
    </cfRule>
  </conditionalFormatting>
  <conditionalFormatting sqref="A151">
    <cfRule type="expression" priority="8" dxfId="920" stopIfTrue="1">
      <formula>$A$151=62</formula>
    </cfRule>
  </conditionalFormatting>
  <conditionalFormatting sqref="A68:H68">
    <cfRule type="expression" priority="7" dxfId="1" stopIfTrue="1">
      <formula>$A$72=33</formula>
    </cfRule>
  </conditionalFormatting>
  <conditionalFormatting sqref="A135:H135">
    <cfRule type="expression" priority="3" dxfId="1" stopIfTrue="1">
      <formula>$A$141=61</formula>
    </cfRule>
    <cfRule type="expression" priority="6" dxfId="1" stopIfTrue="1">
      <formula>$A$139=65</formula>
    </cfRule>
  </conditionalFormatting>
  <conditionalFormatting sqref="A202:H202">
    <cfRule type="expression" priority="5" dxfId="1" stopIfTrue="1">
      <formula>$A$139=65</formula>
    </cfRule>
  </conditionalFormatting>
  <conditionalFormatting sqref="A270:H270">
    <cfRule type="expression" priority="4" dxfId="1" stopIfTrue="1">
      <formula>$A$139=65</formula>
    </cfRule>
  </conditionalFormatting>
  <conditionalFormatting sqref="C133">
    <cfRule type="expression" priority="2" dxfId="1" stopIfTrue="1">
      <formula>$A$72=33</formula>
    </cfRule>
  </conditionalFormatting>
  <conditionalFormatting sqref="C101">
    <cfRule type="expression" priority="1" dxfId="1" stopIfTrue="1">
      <formula>$A$72=33</formula>
    </cfRule>
  </conditionalFormatting>
  <printOptions horizontalCentered="1"/>
  <pageMargins left="0" right="0" top="0.3937007874015748" bottom="0.3937007874015748" header="0" footer="0"/>
  <pageSetup fitToHeight="0" horizontalDpi="600" verticalDpi="600" orientation="portrait" paperSize="245" scale="88" r:id="rId1"/>
  <rowBreaks count="4" manualBreakCount="4">
    <brk id="67" max="7" man="1"/>
    <brk id="134" max="7" man="1"/>
    <brk id="201" max="7" man="1"/>
    <brk id="268" max="7" man="1"/>
  </rowBreaks>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E26" sqref="E26"/>
    </sheetView>
  </sheetViews>
  <sheetFormatPr defaultColWidth="9.00390625" defaultRowHeight="12.75"/>
  <cols>
    <col min="1" max="1" width="4.00390625" style="22" customWidth="1"/>
    <col min="2" max="2" width="4.125" style="23" customWidth="1"/>
    <col min="3" max="3" width="32.625" style="20" customWidth="1"/>
    <col min="4" max="4" width="4.00390625" style="22" customWidth="1"/>
    <col min="5" max="5" width="17.00390625" style="20" customWidth="1"/>
    <col min="6" max="6" width="17.00390625" style="25" customWidth="1"/>
    <col min="7" max="7" width="17.00390625" style="30" customWidth="1"/>
    <col min="8" max="8" width="17.00390625" style="20" customWidth="1"/>
    <col min="9" max="16384" width="9.125" style="20" customWidth="1"/>
  </cols>
  <sheetData>
    <row r="1" spans="1:10" ht="22.5" customHeight="1">
      <c r="A1" s="196" t="s">
        <v>73</v>
      </c>
      <c r="B1" s="196"/>
      <c r="C1" s="196"/>
      <c r="D1" s="196"/>
      <c r="E1" s="196"/>
      <c r="F1" s="196"/>
      <c r="G1" s="196"/>
      <c r="H1" s="196"/>
      <c r="J1" s="21"/>
    </row>
    <row r="2" spans="1:8" ht="18.75">
      <c r="A2" s="192" t="s">
        <v>493</v>
      </c>
      <c r="B2" s="192"/>
      <c r="C2" s="192"/>
      <c r="D2" s="192"/>
      <c r="E2" s="192"/>
      <c r="F2" s="192"/>
      <c r="G2" s="192"/>
      <c r="H2" s="192"/>
    </row>
    <row r="3" spans="3:13" ht="15.75">
      <c r="C3" s="22"/>
      <c r="D3" s="24"/>
      <c r="G3" s="197" t="s">
        <v>75</v>
      </c>
      <c r="H3" s="197"/>
      <c r="I3" s="26"/>
      <c r="J3" s="26"/>
      <c r="K3" s="26"/>
      <c r="L3" s="26"/>
      <c r="M3" s="26"/>
    </row>
    <row r="4" spans="1:10" ht="12.75" customHeight="1">
      <c r="A4" s="27">
        <v>1</v>
      </c>
      <c r="B4" s="28">
        <v>22</v>
      </c>
      <c r="C4" s="29" t="s">
        <v>492</v>
      </c>
      <c r="E4" s="22"/>
      <c r="F4" s="30"/>
      <c r="H4" s="31" t="s">
        <v>6</v>
      </c>
      <c r="J4" s="32"/>
    </row>
    <row r="5" spans="1:8" ht="12.75" customHeight="1">
      <c r="A5" s="27"/>
      <c r="C5" s="22"/>
      <c r="D5" s="193">
        <v>1</v>
      </c>
      <c r="E5" s="33" t="s">
        <v>454</v>
      </c>
      <c r="F5" s="34"/>
      <c r="G5" s="35"/>
      <c r="H5" s="35"/>
    </row>
    <row r="6" spans="1:8" ht="12.75" customHeight="1">
      <c r="A6" s="27">
        <v>2</v>
      </c>
      <c r="B6" s="28" t="s">
        <v>78</v>
      </c>
      <c r="C6" s="36" t="s">
        <v>79</v>
      </c>
      <c r="D6" s="194"/>
      <c r="E6" s="37" t="s">
        <v>78</v>
      </c>
      <c r="F6" s="38"/>
      <c r="H6" s="30"/>
    </row>
    <row r="7" spans="1:8" ht="12.75" customHeight="1">
      <c r="A7" s="27"/>
      <c r="C7" s="22"/>
      <c r="D7" s="39"/>
      <c r="E7" s="195">
        <v>65</v>
      </c>
      <c r="F7" s="40" t="s">
        <v>454</v>
      </c>
      <c r="G7" s="41"/>
      <c r="H7" s="22"/>
    </row>
    <row r="8" spans="1:8" ht="12.75" customHeight="1">
      <c r="A8" s="27">
        <v>3</v>
      </c>
      <c r="B8" s="28">
        <v>131</v>
      </c>
      <c r="C8" s="36" t="s">
        <v>491</v>
      </c>
      <c r="D8" s="39"/>
      <c r="E8" s="195"/>
      <c r="F8" s="40" t="s">
        <v>490</v>
      </c>
      <c r="G8" s="40"/>
      <c r="H8" s="22"/>
    </row>
    <row r="9" spans="1:8" ht="12.75" customHeight="1">
      <c r="A9" s="27"/>
      <c r="C9" s="22"/>
      <c r="D9" s="193">
        <v>2</v>
      </c>
      <c r="E9" s="42" t="s">
        <v>366</v>
      </c>
      <c r="F9" s="40"/>
      <c r="G9" s="40"/>
      <c r="H9" s="22"/>
    </row>
    <row r="10" spans="1:8" ht="12.75" customHeight="1">
      <c r="A10" s="27">
        <v>4</v>
      </c>
      <c r="B10" s="28">
        <v>180</v>
      </c>
      <c r="C10" s="29" t="s">
        <v>489</v>
      </c>
      <c r="D10" s="194"/>
      <c r="E10" s="43" t="s">
        <v>488</v>
      </c>
      <c r="F10" s="40"/>
      <c r="G10" s="40"/>
      <c r="H10" s="22"/>
    </row>
    <row r="11" spans="1:8" ht="12.75" customHeight="1">
      <c r="A11" s="27"/>
      <c r="C11" s="22"/>
      <c r="D11" s="39"/>
      <c r="E11" s="44"/>
      <c r="F11" s="190">
        <v>97</v>
      </c>
      <c r="G11" s="40" t="s">
        <v>454</v>
      </c>
      <c r="H11" s="38"/>
    </row>
    <row r="12" spans="1:8" ht="12.75" customHeight="1">
      <c r="A12" s="27">
        <v>5</v>
      </c>
      <c r="B12" s="28">
        <v>82</v>
      </c>
      <c r="C12" s="29" t="s">
        <v>487</v>
      </c>
      <c r="D12" s="39"/>
      <c r="E12" s="44"/>
      <c r="F12" s="190"/>
      <c r="G12" s="40" t="s">
        <v>486</v>
      </c>
      <c r="H12" s="38"/>
    </row>
    <row r="13" spans="1:8" ht="12.75" customHeight="1">
      <c r="A13" s="27"/>
      <c r="C13" s="22"/>
      <c r="D13" s="193">
        <v>3</v>
      </c>
      <c r="E13" s="33" t="s">
        <v>397</v>
      </c>
      <c r="F13" s="40"/>
      <c r="G13" s="40"/>
      <c r="H13" s="38"/>
    </row>
    <row r="14" spans="1:8" ht="12.75" customHeight="1">
      <c r="A14" s="27">
        <v>6</v>
      </c>
      <c r="B14" s="28" t="s">
        <v>78</v>
      </c>
      <c r="C14" s="36" t="s">
        <v>79</v>
      </c>
      <c r="D14" s="194"/>
      <c r="E14" s="37" t="s">
        <v>78</v>
      </c>
      <c r="F14" s="40"/>
      <c r="G14" s="40"/>
      <c r="H14" s="38"/>
    </row>
    <row r="15" spans="1:8" ht="12.75" customHeight="1">
      <c r="A15" s="27"/>
      <c r="C15" s="22"/>
      <c r="D15" s="39"/>
      <c r="E15" s="195">
        <v>66</v>
      </c>
      <c r="F15" s="40" t="s">
        <v>397</v>
      </c>
      <c r="G15" s="40"/>
      <c r="H15" s="38"/>
    </row>
    <row r="16" spans="1:8" ht="12.75" customHeight="1">
      <c r="A16" s="27">
        <v>7</v>
      </c>
      <c r="B16" s="28" t="s">
        <v>78</v>
      </c>
      <c r="C16" s="36" t="s">
        <v>79</v>
      </c>
      <c r="D16" s="45"/>
      <c r="E16" s="195"/>
      <c r="F16" s="40" t="s">
        <v>485</v>
      </c>
      <c r="G16" s="40"/>
      <c r="H16" s="38"/>
    </row>
    <row r="17" spans="1:8" ht="12.75" customHeight="1">
      <c r="A17" s="27"/>
      <c r="C17" s="22"/>
      <c r="D17" s="193">
        <v>4</v>
      </c>
      <c r="E17" s="42" t="s">
        <v>430</v>
      </c>
      <c r="F17" s="46"/>
      <c r="G17" s="40"/>
      <c r="H17" s="38"/>
    </row>
    <row r="18" spans="1:8" ht="12.75" customHeight="1">
      <c r="A18" s="27">
        <v>8</v>
      </c>
      <c r="B18" s="28">
        <v>43</v>
      </c>
      <c r="C18" s="29" t="s">
        <v>484</v>
      </c>
      <c r="D18" s="194"/>
      <c r="E18" s="43" t="s">
        <v>78</v>
      </c>
      <c r="F18" s="40"/>
      <c r="G18" s="40"/>
      <c r="H18" s="38"/>
    </row>
    <row r="19" spans="1:8" ht="12.75" customHeight="1">
      <c r="A19" s="27"/>
      <c r="C19" s="22"/>
      <c r="D19" s="39"/>
      <c r="F19" s="47"/>
      <c r="G19" s="190" t="s">
        <v>78</v>
      </c>
      <c r="H19" s="48" t="s">
        <v>78</v>
      </c>
    </row>
    <row r="20" spans="1:8" ht="12.75" customHeight="1">
      <c r="A20" s="27">
        <v>9</v>
      </c>
      <c r="B20" s="28">
        <v>47</v>
      </c>
      <c r="C20" s="29" t="s">
        <v>483</v>
      </c>
      <c r="D20" s="49"/>
      <c r="E20" s="44"/>
      <c r="F20" s="46"/>
      <c r="G20" s="190"/>
      <c r="H20" s="40" t="s">
        <v>78</v>
      </c>
    </row>
    <row r="21" spans="1:8" ht="12.75" customHeight="1">
      <c r="A21" s="27"/>
      <c r="C21" s="50"/>
      <c r="D21" s="193">
        <v>5</v>
      </c>
      <c r="E21" s="33" t="s">
        <v>427</v>
      </c>
      <c r="F21" s="38"/>
      <c r="G21" s="40"/>
      <c r="H21" s="38"/>
    </row>
    <row r="22" spans="1:8" ht="12.75" customHeight="1">
      <c r="A22" s="27">
        <v>10</v>
      </c>
      <c r="B22" s="28" t="s">
        <v>78</v>
      </c>
      <c r="C22" s="36" t="s">
        <v>79</v>
      </c>
      <c r="D22" s="194"/>
      <c r="E22" s="37" t="s">
        <v>78</v>
      </c>
      <c r="F22" s="38"/>
      <c r="G22" s="40"/>
      <c r="H22" s="38"/>
    </row>
    <row r="23" spans="1:8" ht="12.75" customHeight="1">
      <c r="A23" s="27"/>
      <c r="C23" s="27"/>
      <c r="D23" s="51"/>
      <c r="E23" s="195">
        <v>67</v>
      </c>
      <c r="F23" s="47" t="s">
        <v>427</v>
      </c>
      <c r="G23" s="40"/>
      <c r="H23" s="38"/>
    </row>
    <row r="24" spans="1:8" ht="12.75" customHeight="1">
      <c r="A24" s="27">
        <v>11</v>
      </c>
      <c r="B24" s="28">
        <v>119</v>
      </c>
      <c r="C24" s="36" t="s">
        <v>482</v>
      </c>
      <c r="D24" s="51"/>
      <c r="E24" s="195"/>
      <c r="F24" s="52" t="s">
        <v>481</v>
      </c>
      <c r="G24" s="40"/>
      <c r="H24" s="38"/>
    </row>
    <row r="25" spans="1:8" ht="12.75" customHeight="1">
      <c r="A25" s="27"/>
      <c r="C25" s="50"/>
      <c r="D25" s="193">
        <v>6</v>
      </c>
      <c r="E25" s="33" t="s">
        <v>399</v>
      </c>
      <c r="F25" s="53"/>
      <c r="G25" s="40"/>
      <c r="H25" s="38"/>
    </row>
    <row r="26" spans="1:8" ht="12.75" customHeight="1">
      <c r="A26" s="27">
        <v>12</v>
      </c>
      <c r="B26" s="28">
        <v>81</v>
      </c>
      <c r="C26" s="29" t="s">
        <v>480</v>
      </c>
      <c r="D26" s="194"/>
      <c r="E26" s="43" t="s">
        <v>479</v>
      </c>
      <c r="F26" s="38"/>
      <c r="G26" s="40"/>
      <c r="H26" s="38"/>
    </row>
    <row r="27" spans="1:8" ht="12.75" customHeight="1">
      <c r="A27" s="27"/>
      <c r="C27" s="27"/>
      <c r="D27" s="51"/>
      <c r="E27" s="54"/>
      <c r="F27" s="190">
        <v>98</v>
      </c>
      <c r="G27" s="40" t="s">
        <v>439</v>
      </c>
      <c r="H27" s="38"/>
    </row>
    <row r="28" spans="1:8" ht="12.75" customHeight="1">
      <c r="A28" s="27">
        <v>13</v>
      </c>
      <c r="B28" s="28">
        <v>143</v>
      </c>
      <c r="C28" s="29" t="s">
        <v>478</v>
      </c>
      <c r="D28" s="49"/>
      <c r="E28" s="22"/>
      <c r="F28" s="190"/>
      <c r="G28" s="40" t="s">
        <v>477</v>
      </c>
      <c r="H28" s="48"/>
    </row>
    <row r="29" spans="1:8" ht="12.75" customHeight="1">
      <c r="A29" s="27"/>
      <c r="C29" s="55"/>
      <c r="D29" s="193">
        <v>7</v>
      </c>
      <c r="E29" s="33" t="s">
        <v>359</v>
      </c>
      <c r="F29" s="56"/>
      <c r="G29" s="40"/>
      <c r="H29" s="40"/>
    </row>
    <row r="30" spans="1:8" ht="12.75" customHeight="1">
      <c r="A30" s="27">
        <v>14</v>
      </c>
      <c r="B30" s="28">
        <v>173</v>
      </c>
      <c r="C30" s="36" t="s">
        <v>476</v>
      </c>
      <c r="D30" s="194"/>
      <c r="E30" s="43" t="s">
        <v>475</v>
      </c>
      <c r="F30" s="57"/>
      <c r="G30" s="40"/>
      <c r="H30" s="40"/>
    </row>
    <row r="31" spans="1:8" ht="12.75" customHeight="1">
      <c r="A31" s="27"/>
      <c r="C31" s="27"/>
      <c r="D31" s="49"/>
      <c r="E31" s="195">
        <v>68</v>
      </c>
      <c r="F31" s="58" t="s">
        <v>439</v>
      </c>
      <c r="G31" s="40"/>
      <c r="H31" s="40"/>
    </row>
    <row r="32" spans="1:8" ht="12.75" customHeight="1">
      <c r="A32" s="27">
        <v>15</v>
      </c>
      <c r="B32" s="28" t="s">
        <v>78</v>
      </c>
      <c r="C32" s="36" t="s">
        <v>79</v>
      </c>
      <c r="D32" s="49"/>
      <c r="E32" s="195"/>
      <c r="F32" s="52" t="s">
        <v>474</v>
      </c>
      <c r="G32" s="40"/>
      <c r="H32" s="59"/>
    </row>
    <row r="33" spans="1:8" ht="12.75" customHeight="1">
      <c r="A33" s="27"/>
      <c r="C33" s="50"/>
      <c r="D33" s="193">
        <v>8</v>
      </c>
      <c r="E33" s="33" t="s">
        <v>439</v>
      </c>
      <c r="F33" s="57"/>
      <c r="G33" s="40"/>
      <c r="H33" s="40"/>
    </row>
    <row r="34" spans="1:8" ht="12.75" customHeight="1">
      <c r="A34" s="27">
        <v>16</v>
      </c>
      <c r="B34" s="28">
        <v>35</v>
      </c>
      <c r="C34" s="29" t="s">
        <v>473</v>
      </c>
      <c r="D34" s="194"/>
      <c r="E34" s="43" t="s">
        <v>78</v>
      </c>
      <c r="F34" s="56"/>
      <c r="G34" s="40"/>
      <c r="H34" s="40"/>
    </row>
    <row r="35" spans="1:8" ht="15.75" customHeight="1">
      <c r="A35" s="27"/>
      <c r="B35" s="27"/>
      <c r="D35" s="20"/>
      <c r="F35" s="56"/>
      <c r="G35" s="40"/>
      <c r="H35" s="60"/>
    </row>
    <row r="36" spans="1:8" ht="12.75" customHeight="1">
      <c r="A36" s="27">
        <v>17</v>
      </c>
      <c r="B36" s="28">
        <f>IF('[2]copy_I.st_KO_afterdraw'!$C$23="","",'[2]copy_I.st_KO_afterdraw'!$C$23)</f>
        <v>38</v>
      </c>
      <c r="C36" s="29" t="str">
        <f>IF(B36="","bye",CONCATENATE(VLOOKUP(B36,'[2]Rank'!$A$3:$D$300,2),"  (",VLOOKUP(B36,'[2]Rank'!$A$3:$D$300,3),")"))</f>
        <v>Pašek Dominik  (TJ Slavoj Praha)</v>
      </c>
      <c r="D36" s="39"/>
      <c r="F36" s="46"/>
      <c r="G36" s="40"/>
      <c r="H36" s="60"/>
    </row>
    <row r="37" spans="1:8" ht="12.75" customHeight="1">
      <c r="A37" s="27"/>
      <c r="B37" s="27"/>
      <c r="C37" s="55"/>
      <c r="D37" s="193">
        <v>9</v>
      </c>
      <c r="E37" s="33" t="str">
        <f>IF(OR($B36="",$B38=""),IF($B36="",IF($B38="","",'[2]I.st-výs-KO'!$F10),'[2]I.st-výs-KO'!$C10),'[2]I.st-výs-KO'!$Q10)</f>
        <v>Pašek Dominik</v>
      </c>
      <c r="F37" s="46"/>
      <c r="G37" s="40"/>
      <c r="H37" s="40"/>
    </row>
    <row r="38" spans="1:8" ht="12.75" customHeight="1">
      <c r="A38" s="27">
        <v>18</v>
      </c>
      <c r="B38" s="28">
        <f>IF('[2]copy_I.st_KO_afterdraw'!$C$24="","",'[2]copy_I.st_KO_afterdraw'!$C$24)</f>
      </c>
      <c r="C38" s="36" t="str">
        <f>IF(B38="","bye",CONCATENATE(VLOOKUP(B38,'[2]Rank'!$A$3:$D$300,2),"  (",VLOOKUP(B38,'[2]Rank'!$A$3:$D$300,3),")"))</f>
        <v>bye</v>
      </c>
      <c r="D38" s="194"/>
      <c r="E38" s="43">
        <f>IF($B36="","",IF($B38="","",IF('[2]I.st-výs-KO'!$P10="","",'[2]I.st-výs-KO'!$S10)))</f>
      </c>
      <c r="F38" s="57"/>
      <c r="G38" s="40"/>
      <c r="H38" s="40"/>
    </row>
    <row r="39" spans="1:8" ht="12.75" customHeight="1">
      <c r="A39" s="27"/>
      <c r="B39" s="27"/>
      <c r="D39" s="20"/>
      <c r="E39" s="195">
        <f>IF(AND('[2]Turnaj'!$L$10=16,'[2]copy_before_draw_I_st'!$F$1&gt;64),69,IF(AND('[2]Turnaj'!$L$10=8,'[2]copy_before_draw_I_st'!$F$1&gt;64),69,IF(AND('[2]Turnaj'!$L$10=16,'[2]copy_before_draw_I_st'!$F$1&lt;=64),37,IF(AND('[2]Turnaj'!$L$10=8,'[2]copy_before_draw_I_st'!$F$1&lt;=64),37,""))))</f>
        <v>69</v>
      </c>
      <c r="F39" s="47" t="str">
        <f>IF($E$39=37,IF('[2]I.st-výs-KO'!$Q39="","",'[2]I.st-výs-KO'!$Q39),IF($E$39=69,IF('[2]I.st-výs-KO'!$Q71="","",'[2]I.st-výs-KO'!$Q71),""))</f>
        <v>Pašek Dominik</v>
      </c>
      <c r="G39" s="40"/>
      <c r="H39" s="40"/>
    </row>
    <row r="40" spans="1:8" ht="12.75" customHeight="1">
      <c r="A40" s="27">
        <v>19</v>
      </c>
      <c r="B40" s="28">
        <f>IF('[2]copy_I.st_KO_afterdraw'!$C$25="","",'[2]copy_I.st_KO_afterdraw'!$C$25)</f>
        <v>181</v>
      </c>
      <c r="C40" s="36" t="str">
        <f>IF(B40="","bye",CONCATENATE(VLOOKUP(B40,'[2]Rank'!$A$3:$D$300,2),"  (",VLOOKUP(B40,'[2]Rank'!$A$3:$D$300,3),")"))</f>
        <v>Kopecký Filip  (TTC Litoměřice)</v>
      </c>
      <c r="D40" s="51"/>
      <c r="E40" s="195"/>
      <c r="F40" s="52" t="str">
        <f>IF($E$39=37,IF('[2]I.st-výs-KO'!$P39="","",'[2]I.st-výs-KO'!$S39),IF($E$39=69,IF('[2]I.st-výs-KO'!$P71="","",'[2]I.st-výs-KO'!$S71),""))</f>
        <v>3:0 (5,8,6)</v>
      </c>
      <c r="G40" s="40"/>
      <c r="H40" s="40"/>
    </row>
    <row r="41" spans="1:8" ht="12.75" customHeight="1">
      <c r="A41" s="27"/>
      <c r="B41" s="27"/>
      <c r="C41" s="50"/>
      <c r="D41" s="193">
        <v>10</v>
      </c>
      <c r="E41" s="33" t="str">
        <f>IF(OR($B40="",$B42=""),IF($B40="",IF($B42="","",'[2]I.st-výs-KO'!$F11),'[2]I.st-výs-KO'!$C11),'[2]I.st-výs-KO'!$Q11)</f>
        <v>Kopecký Filip</v>
      </c>
      <c r="F41" s="57"/>
      <c r="G41" s="40"/>
      <c r="H41" s="40"/>
    </row>
    <row r="42" spans="1:8" ht="12.75" customHeight="1">
      <c r="A42" s="27">
        <v>20</v>
      </c>
      <c r="B42" s="28">
        <f>IF('[2]copy_I.st_KO_afterdraw'!$C$26="","",'[2]copy_I.st_KO_afterdraw'!$C$26)</f>
        <v>104</v>
      </c>
      <c r="C42" s="29" t="str">
        <f>IF(B42="","bye",CONCATENATE(VLOOKUP(B42,'[2]Rank'!$A$3:$D$300,2),"  (",VLOOKUP(B42,'[2]Rank'!$A$3:$D$300,3),")"))</f>
        <v>Vacek Jan  (MSK Břeclav)</v>
      </c>
      <c r="D42" s="194"/>
      <c r="E42" s="43" t="str">
        <f>IF($B40="","",IF($B42="","",IF('[2]I.st-výs-KO'!$P11="","",'[2]I.st-výs-KO'!$S11)))</f>
        <v>3:0 (9,4,9)</v>
      </c>
      <c r="F42" s="56"/>
      <c r="G42" s="40"/>
      <c r="H42" s="40"/>
    </row>
    <row r="43" spans="1:8" ht="12.75" customHeight="1">
      <c r="A43" s="27"/>
      <c r="B43" s="27"/>
      <c r="C43" s="27"/>
      <c r="D43" s="51"/>
      <c r="E43" s="27"/>
      <c r="F43" s="190">
        <f>IF(AND('[2]Turnaj'!$L$10=16,'[2]copy_before_draw_I_st'!$F$1&gt;64),99,IF(AND('[2]Turnaj'!$L$10=8,'[2]copy_before_draw_I_st'!$F$1&gt;64),99,IF(AND('[2]Turnaj'!$L$10=8,'[2]copy_before_draw_I_st'!$F$1&lt;=64),51,"")))</f>
        <v>99</v>
      </c>
      <c r="G43" s="40" t="str">
        <f>IF($F$43=51,IF('[2]I.st-výs-KO'!$Q54="","",'[2]I.st-výs-KO'!$Q54),IF($F$43=99,IF('[2]I.st-výs-KO'!$Q102="","",'[2]I.st-výs-KO'!$Q102),""))</f>
        <v>Bako Radim</v>
      </c>
      <c r="H43" s="40"/>
    </row>
    <row r="44" spans="1:8" ht="12.75" customHeight="1">
      <c r="A44" s="27">
        <v>21</v>
      </c>
      <c r="B44" s="28">
        <f>IF('[2]copy_I.st_KO_afterdraw'!$C$27="","",'[2]copy_I.st_KO_afterdraw'!$C$27)</f>
        <v>190</v>
      </c>
      <c r="C44" s="29" t="str">
        <f>IF(B44="","bye",CONCATENATE(VLOOKUP(B44,'[2]Rank'!$A$3:$D$300,2),"  (",VLOOKUP(B44,'[2]Rank'!$A$3:$D$300,3),")"))</f>
        <v>Lorenc David  (SKST Hodonín)</v>
      </c>
      <c r="D44" s="51"/>
      <c r="E44" s="27"/>
      <c r="F44" s="190"/>
      <c r="G44" s="40" t="str">
        <f>IF($F$43=51,IF('[2]I.st-výs-KO'!$P54="","",'[2]I.st-výs-KO'!$S54),IF($F$43=99,IF('[2]I.st-výs-KO'!$P102="","",'[2]I.st-výs-KO'!$S102),""))</f>
        <v>3:0 (6,13,4)</v>
      </c>
      <c r="H44" s="40"/>
    </row>
    <row r="45" spans="1:8" ht="12.75" customHeight="1">
      <c r="A45" s="27"/>
      <c r="B45" s="27"/>
      <c r="C45" s="50"/>
      <c r="D45" s="193">
        <v>11</v>
      </c>
      <c r="E45" s="33" t="str">
        <f>IF(OR($B44="",$B46=""),IF($B44="",IF($B46="","",'[2]I.st-výs-KO'!$F12),'[2]I.st-výs-KO'!$C12),'[2]I.st-výs-KO'!$Q12)</f>
        <v>Vybíral Matouš</v>
      </c>
      <c r="F45" s="56"/>
      <c r="G45" s="40"/>
      <c r="H45" s="40"/>
    </row>
    <row r="46" spans="1:8" ht="12.75" customHeight="1">
      <c r="A46" s="27">
        <v>22</v>
      </c>
      <c r="B46" s="28">
        <f>IF('[2]copy_I.st_KO_afterdraw'!$C$28="","",'[2]copy_I.st_KO_afterdraw'!$C$28)</f>
        <v>128</v>
      </c>
      <c r="C46" s="36" t="str">
        <f>IF(B46="","bye",CONCATENATE(VLOOKUP(B46,'[2]Rank'!$A$3:$D$300,2),"  (",VLOOKUP(B46,'[2]Rank'!$A$3:$D$300,3),")"))</f>
        <v>Vybíral Matouš  (Znojmo)</v>
      </c>
      <c r="D46" s="194"/>
      <c r="E46" s="43" t="str">
        <f>IF($B44="","",IF($B46="","",IF('[2]I.st-výs-KO'!$P12="","",'[2]I.st-výs-KO'!$S12)))</f>
        <v>3:1 (-8,7,4,10)</v>
      </c>
      <c r="F46" s="57"/>
      <c r="G46" s="40"/>
      <c r="H46" s="40"/>
    </row>
    <row r="47" spans="1:8" ht="12.75" customHeight="1">
      <c r="A47" s="27"/>
      <c r="B47" s="27"/>
      <c r="C47" s="27"/>
      <c r="D47" s="51"/>
      <c r="E47" s="195">
        <f>IF(AND('[2]Turnaj'!$L$10=16,'[2]copy_before_draw_I_st'!$F$1&gt;64),70,IF(AND('[2]Turnaj'!$L$10=8,'[2]copy_before_draw_I_st'!$F$1&gt;64),70,IF(AND('[2]Turnaj'!$L$10=16,'[2]copy_before_draw_I_st'!$F$1&lt;=64),38,IF(AND('[2]Turnaj'!$L$10=8,'[2]copy_before_draw_I_st'!$F$1&lt;=64),38,""))))</f>
        <v>70</v>
      </c>
      <c r="F47" s="58" t="str">
        <f>IF($E$47=38,IF('[2]I.st-výs-KO'!$Q40="","",'[2]I.st-výs-KO'!$Q40),IF($E$47=70,IF('[2]I.st-výs-KO'!$Q72="","",'[2]I.st-výs-KO'!$Q72),""))</f>
        <v>Bako Radim</v>
      </c>
      <c r="G47" s="40"/>
      <c r="H47" s="40"/>
    </row>
    <row r="48" spans="1:8" ht="12.75" customHeight="1">
      <c r="A48" s="27">
        <v>23</v>
      </c>
      <c r="B48" s="28">
        <f>IF('[2]copy_I.st_KO_afterdraw'!$C$29="","",'[2]copy_I.st_KO_afterdraw'!$C$29)</f>
      </c>
      <c r="C48" s="36" t="str">
        <f>IF(B48="","bye",CONCATENATE(VLOOKUP(B48,'[2]Rank'!$A$3:$D$300,2),"  (",VLOOKUP(B48,'[2]Rank'!$A$3:$D$300,3),")"))</f>
        <v>bye</v>
      </c>
      <c r="D48" s="51"/>
      <c r="E48" s="195"/>
      <c r="F48" s="52" t="str">
        <f>IF($E$47=38,IF('[2]I.st-výs-KO'!$P40="","",'[2]I.st-výs-KO'!$S40),IF($E$47=70,IF('[2]I.st-výs-KO'!$P72="","",'[2]I.st-výs-KO'!$S72),""))</f>
        <v>3:0 (10,9,5)</v>
      </c>
      <c r="G48" s="40"/>
      <c r="H48" s="40"/>
    </row>
    <row r="49" spans="1:8" ht="12.75" customHeight="1">
      <c r="A49" s="27"/>
      <c r="B49" s="27"/>
      <c r="C49" s="50"/>
      <c r="D49" s="193">
        <v>12</v>
      </c>
      <c r="E49" s="33" t="str">
        <f>IF(OR($B48="",$B50=""),IF($B48="",IF($B50="","",'[2]I.st-výs-KO'!$F13),'[2]I.st-výs-KO'!$C13),'[2]I.st-výs-KO'!$Q13)</f>
        <v>Bako Radim</v>
      </c>
      <c r="F49" s="57"/>
      <c r="G49" s="40"/>
      <c r="H49" s="40"/>
    </row>
    <row r="50" spans="1:8" ht="12.75" customHeight="1">
      <c r="A50" s="27">
        <v>24</v>
      </c>
      <c r="B50" s="28">
        <f>IF('[2]copy_I.st_KO_afterdraw'!$C$30="","",'[2]copy_I.st_KO_afterdraw'!$C$30)</f>
        <v>41</v>
      </c>
      <c r="C50" s="29" t="str">
        <f>IF(B50="","bye",CONCATENATE(VLOOKUP(B50,'[2]Rank'!$A$3:$D$300,2),"  (",VLOOKUP(B50,'[2]Rank'!$A$3:$D$300,3),")"))</f>
        <v>Bako Radim  (TJ Lanškroun)</v>
      </c>
      <c r="D50" s="194"/>
      <c r="E50" s="43">
        <f>IF($B48="","",IF($B50="","",IF('[2]I.st-výs-KO'!$P13="","",'[2]I.st-výs-KO'!$S13)))</f>
      </c>
      <c r="F50" s="56"/>
      <c r="G50" s="40"/>
      <c r="H50" s="40"/>
    </row>
    <row r="51" spans="1:8" ht="12.75" customHeight="1">
      <c r="A51" s="27"/>
      <c r="B51" s="27"/>
      <c r="C51" s="27"/>
      <c r="D51" s="51"/>
      <c r="E51" s="27"/>
      <c r="F51" s="56"/>
      <c r="G51" s="190">
        <f>IF(AND('[2]Turnaj'!$L$10=8,'[2]copy_before_draw_I_st'!$F$1&gt;64),114,"")</f>
      </c>
      <c r="H51" s="48">
        <f>IF($G$51=114,IF('[2]I.st-výs-KO'!$Q118="","",'[2]I.st-výs-KO'!$Q118),"")</f>
      </c>
    </row>
    <row r="52" spans="1:8" ht="12.75" customHeight="1">
      <c r="A52" s="27">
        <v>25</v>
      </c>
      <c r="B52" s="28">
        <f>IF('[2]copy_I.st_KO_afterdraw'!$C$31="","",'[2]copy_I.st_KO_afterdraw'!$C$31)</f>
        <v>42</v>
      </c>
      <c r="C52" s="29" t="str">
        <f>IF(B52="","bye",CONCATENATE(VLOOKUP(B52,'[2]Rank'!$A$3:$D$300,2),"  (",VLOOKUP(B52,'[2]Rank'!$A$3:$D$300,3),")"))</f>
        <v>Vévoda Ondřej  (BSK Malenovice)</v>
      </c>
      <c r="D52" s="51"/>
      <c r="E52" s="27"/>
      <c r="F52" s="56"/>
      <c r="G52" s="190"/>
      <c r="H52" s="40">
        <f>IF($G$51=114,IF('[2]I.st-výs-KO'!$P118="","",'[2]I.st-výs-KO'!$S118),"")</f>
      </c>
    </row>
    <row r="53" spans="1:8" ht="12.75" customHeight="1">
      <c r="A53" s="27"/>
      <c r="B53" s="27"/>
      <c r="C53" s="50"/>
      <c r="D53" s="193">
        <v>13</v>
      </c>
      <c r="E53" s="33" t="str">
        <f>IF(OR($B52="",$B54=""),IF($B52="",IF($B54="","",'[2]I.st-výs-KO'!$F14),'[2]I.st-výs-KO'!$C14),'[2]I.st-výs-KO'!$Q14)</f>
        <v>Vévoda Ondřej</v>
      </c>
      <c r="F53" s="56"/>
      <c r="G53" s="40"/>
      <c r="H53" s="40"/>
    </row>
    <row r="54" spans="1:8" ht="12.75" customHeight="1">
      <c r="A54" s="27">
        <v>26</v>
      </c>
      <c r="B54" s="28">
        <f>IF('[2]copy_I.st_KO_afterdraw'!$C$32="","",'[2]copy_I.st_KO_afterdraw'!$C$32)</f>
      </c>
      <c r="C54" s="36" t="str">
        <f>IF(B54="","bye",CONCATENATE(VLOOKUP(B54,'[2]Rank'!$A$3:$D$300,2),"  (",VLOOKUP(B54,'[2]Rank'!$A$3:$D$300,3),")"))</f>
        <v>bye</v>
      </c>
      <c r="D54" s="194"/>
      <c r="E54" s="37">
        <f>IF($B52="","",IF($B54="","",IF('[2]I.st-výs-KO'!$P14="","",'[2]I.st-výs-KO'!$S14)))</f>
      </c>
      <c r="F54" s="56"/>
      <c r="G54" s="40"/>
      <c r="H54" s="40"/>
    </row>
    <row r="55" spans="1:8" ht="12.75" customHeight="1">
      <c r="A55" s="27"/>
      <c r="B55" s="27"/>
      <c r="C55" s="27"/>
      <c r="D55" s="51"/>
      <c r="E55" s="195">
        <f>IF(AND('[2]Turnaj'!$L$10=16,'[2]copy_before_draw_I_st'!$F$1&gt;64),71,IF(AND('[2]Turnaj'!$L$10=8,'[2]copy_before_draw_I_st'!$F$1&gt;64),71,IF(AND('[2]Turnaj'!$L$10=16,'[2]copy_before_draw_I_st'!$F$1&lt;=64),39,IF(AND('[2]Turnaj'!$L$10=8,'[2]copy_before_draw_I_st'!$F$1&lt;=64),39,""))))</f>
        <v>71</v>
      </c>
      <c r="F55" s="47" t="str">
        <f>IF($E$55=39,IF('[2]I.st-výs-KO'!$Q41="","",'[2]I.st-výs-KO'!$Q41),IF($E$55=71,IF('[2]I.st-výs-KO'!$Q73="","",'[2]I.st-výs-KO'!$Q73),""))</f>
        <v>Vévoda Ondřej</v>
      </c>
      <c r="G55" s="40"/>
      <c r="H55" s="40"/>
    </row>
    <row r="56" spans="1:8" ht="12.75" customHeight="1">
      <c r="A56" s="27">
        <v>27</v>
      </c>
      <c r="B56" s="28">
        <f>IF('[2]copy_I.st_KO_afterdraw'!$C$33="","",'[2]copy_I.st_KO_afterdraw'!$C$33)</f>
        <v>75</v>
      </c>
      <c r="C56" s="36" t="str">
        <f>IF(B56="","bye",CONCATENATE(VLOOKUP(B56,'[2]Rank'!$A$3:$D$300,2),"  (",VLOOKUP(B56,'[2]Rank'!$A$3:$D$300,3),")"))</f>
        <v>Procházka Jaroslav  (KST ZŠ Vyšší Brod)</v>
      </c>
      <c r="D56" s="51"/>
      <c r="E56" s="195"/>
      <c r="F56" s="52" t="str">
        <f>IF($E$55=39,IF('[2]I.st-výs-KO'!$P41="","",'[2]I.st-výs-KO'!$S41),IF($E$55=71,IF('[2]I.st-výs-KO'!$P73="","",'[2]I.st-výs-KO'!$S73),""))</f>
        <v>3:2 (-10,7,-10,2,6)</v>
      </c>
      <c r="G56" s="40"/>
      <c r="H56" s="40"/>
    </row>
    <row r="57" spans="1:8" ht="12.75" customHeight="1">
      <c r="A57" s="27"/>
      <c r="B57" s="27"/>
      <c r="C57" s="50"/>
      <c r="D57" s="193">
        <v>14</v>
      </c>
      <c r="E57" s="33" t="str">
        <f>IF(OR($B56="",$B58=""),IF($B56="",IF($B58="","",'[2]I.st-výs-KO'!$F15),'[2]I.st-výs-KO'!$C15),'[2]I.st-výs-KO'!$Q15)</f>
        <v>Procházka Jaroslav</v>
      </c>
      <c r="F57" s="57"/>
      <c r="G57" s="40"/>
      <c r="H57" s="40"/>
    </row>
    <row r="58" spans="1:8" ht="12.75" customHeight="1">
      <c r="A58" s="27">
        <v>28</v>
      </c>
      <c r="B58" s="28">
        <f>IF('[2]copy_I.st_KO_afterdraw'!$C$34="","",'[2]copy_I.st_KO_afterdraw'!$C$34)</f>
        <v>186</v>
      </c>
      <c r="C58" s="29" t="str">
        <f>IF(B58="","bye",CONCATENATE(VLOOKUP(B58,'[2]Rank'!$A$3:$D$300,2),"  (",VLOOKUP(B58,'[2]Rank'!$A$3:$D$300,3),")"))</f>
        <v>Hofman Adrian  (SK Frýdlant nad Ostravicí)</v>
      </c>
      <c r="D58" s="194"/>
      <c r="E58" s="43" t="str">
        <f>IF($B56="","",IF($B58="","",IF('[2]I.st-výs-KO'!$P15="","",'[2]I.st-výs-KO'!$S15)))</f>
        <v>wo</v>
      </c>
      <c r="F58" s="56"/>
      <c r="G58" s="40"/>
      <c r="H58" s="40"/>
    </row>
    <row r="59" spans="1:8" ht="12.75" customHeight="1">
      <c r="A59" s="27"/>
      <c r="B59" s="27"/>
      <c r="C59" s="27"/>
      <c r="D59" s="51"/>
      <c r="E59" s="27"/>
      <c r="F59" s="190">
        <f>IF(AND('[2]Turnaj'!$L$10=16,'[2]copy_before_draw_I_st'!$F$1&gt;64),100,IF(AND('[2]Turnaj'!$L$10=8,'[2]copy_before_draw_I_st'!$F$1&gt;64),100,IF(AND('[2]Turnaj'!$L$10=8,'[2]copy_before_draw_I_st'!$F$1&lt;=64),52,"")))</f>
        <v>100</v>
      </c>
      <c r="G59" s="40" t="str">
        <f>IF($F$59=52,IF('[2]I.st-výs-KO'!$Q55="","",'[2]I.st-výs-KO'!$Q55),IF($F$59=100,IF('[2]I.st-výs-KO'!$Q103="","",'[2]I.st-výs-KO'!$Q103),""))</f>
        <v>Vévoda Ondřej</v>
      </c>
      <c r="H59" s="40"/>
    </row>
    <row r="60" spans="1:8" ht="12.75" customHeight="1">
      <c r="A60" s="27">
        <v>29</v>
      </c>
      <c r="B60" s="28">
        <f>IF('[2]copy_I.st_KO_afterdraw'!$C$35="","",'[2]copy_I.st_KO_afterdraw'!$C$35)</f>
        <v>91</v>
      </c>
      <c r="C60" s="29" t="str">
        <f>IF(B60="","bye",CONCATENATE(VLOOKUP(B60,'[2]Rank'!$A$3:$D$300,2),"  (",VLOOKUP(B60,'[2]Rank'!$A$3:$D$300,3),")"))</f>
        <v>Jadrný Šimon  (STEN Havlíčkův Brod)</v>
      </c>
      <c r="D60" s="51"/>
      <c r="E60" s="27"/>
      <c r="F60" s="190"/>
      <c r="G60" s="40" t="str">
        <f>IF($F$59=52,IF('[2]I.st-výs-KO'!$P55="","",'[2]I.st-výs-KO'!$S55),IF($F$59=100,IF('[2]I.st-výs-KO'!$P103="","",'[2]I.st-výs-KO'!$S103),""))</f>
        <v>3:2 (5,4,-7,-14,9)</v>
      </c>
      <c r="H60" s="40"/>
    </row>
    <row r="61" spans="1:8" ht="12.75" customHeight="1">
      <c r="A61" s="27"/>
      <c r="B61" s="27"/>
      <c r="C61" s="50"/>
      <c r="D61" s="193">
        <v>15</v>
      </c>
      <c r="E61" s="33" t="str">
        <f>IF(OR($B60="",$B62=""),IF($B60="",IF($B62="","",'[2]I.st-výs-KO'!$F16),'[2]I.st-výs-KO'!$C16),'[2]I.st-výs-KO'!$Q16)</f>
        <v>Hušek Adam</v>
      </c>
      <c r="F61" s="56"/>
      <c r="G61" s="40"/>
      <c r="H61" s="40"/>
    </row>
    <row r="62" spans="1:8" ht="12.75" customHeight="1">
      <c r="A62" s="27">
        <v>30</v>
      </c>
      <c r="B62" s="28">
        <f>IF('[2]copy_I.st_KO_afterdraw'!$C$36="","",'[2]copy_I.st_KO_afterdraw'!$C$36)</f>
        <v>60</v>
      </c>
      <c r="C62" s="36" t="str">
        <f>IF(B62="","bye",CONCATENATE(VLOOKUP(B62,'[2]Rank'!$A$3:$D$300,2),"  (",VLOOKUP(B62,'[2]Rank'!$A$3:$D$300,3),")"))</f>
        <v>Hušek Adam  (TJ Sokol PP Hradec Králové 2)</v>
      </c>
      <c r="D62" s="194"/>
      <c r="E62" s="37" t="str">
        <f>IF($B60="","",IF($B62="","",IF('[2]I.st-výs-KO'!$P16="","",'[2]I.st-výs-KO'!$S16)))</f>
        <v>3:1 (12,-8,9,6)</v>
      </c>
      <c r="F62" s="56"/>
      <c r="G62" s="40"/>
      <c r="H62" s="40"/>
    </row>
    <row r="63" spans="1:8" ht="12.75" customHeight="1">
      <c r="A63" s="27"/>
      <c r="B63" s="27"/>
      <c r="C63" s="27"/>
      <c r="D63" s="51"/>
      <c r="E63" s="195">
        <f>IF(AND('[2]Turnaj'!$L$10=16,'[2]copy_before_draw_I_st'!$F$1&gt;64),72,IF(AND('[2]Turnaj'!$L$10=8,'[2]copy_before_draw_I_st'!$F$1&gt;64),72,IF(AND('[2]Turnaj'!$L$10=16,'[2]copy_before_draw_I_st'!$F$1&lt;=64),40,IF(AND('[2]Turnaj'!$L$10=8,'[2]copy_before_draw_I_st'!$F$1&lt;=64),40,""))))</f>
        <v>72</v>
      </c>
      <c r="F63" s="58" t="str">
        <f>IF($E$63=40,IF('[2]I.st-výs-KO'!$Q42="","",'[2]I.st-výs-KO'!$Q42),IF($E$63=72,IF('[2]I.st-výs-KO'!$Q74="","",'[2]I.st-výs-KO'!$Q74),""))</f>
        <v>Skalský Ondřej</v>
      </c>
      <c r="G63" s="40"/>
      <c r="H63" s="40"/>
    </row>
    <row r="64" spans="1:8" ht="12.75" customHeight="1">
      <c r="A64" s="27">
        <v>31</v>
      </c>
      <c r="B64" s="28">
        <f>IF('[2]copy_I.st_KO_afterdraw'!$C$37="","",'[2]copy_I.st_KO_afterdraw'!$C$37)</f>
      </c>
      <c r="C64" s="36" t="str">
        <f>IF(B64="","bye",CONCATENATE(VLOOKUP(B64,'[2]Rank'!$A$3:$D$300,2),"  (",VLOOKUP(B64,'[2]Rank'!$A$3:$D$300,3),")"))</f>
        <v>bye</v>
      </c>
      <c r="D64" s="51"/>
      <c r="E64" s="195"/>
      <c r="F64" s="52" t="str">
        <f>IF($E$63=40,IF('[2]I.st-výs-KO'!$P42="","",'[2]I.st-výs-KO'!$S42),IF($E$63=72,IF('[2]I.st-výs-KO'!$P74="","",'[2]I.st-výs-KO'!$S74),""))</f>
        <v>3:0 (7,12,9)</v>
      </c>
      <c r="G64" s="40"/>
      <c r="H64" s="40"/>
    </row>
    <row r="65" spans="1:8" ht="12.75" customHeight="1">
      <c r="A65" s="27"/>
      <c r="B65" s="27"/>
      <c r="C65" s="50"/>
      <c r="D65" s="193">
        <v>16</v>
      </c>
      <c r="E65" s="33" t="str">
        <f>IF(OR($B64="",$B66=""),IF($B64="",IF($B66="","",'[2]I.st-výs-KO'!$F17),'[2]I.st-výs-KO'!$C17),'[2]I.st-výs-KO'!$Q17)</f>
        <v>Skalský Ondřej</v>
      </c>
      <c r="F65" s="57"/>
      <c r="G65" s="40"/>
      <c r="H65" s="40"/>
    </row>
    <row r="66" spans="1:8" ht="12.75" customHeight="1">
      <c r="A66" s="27">
        <v>32</v>
      </c>
      <c r="B66" s="28">
        <f>IF('[2]copy_I.st_KO_afterdraw'!$C$38="","",'[2]copy_I.st_KO_afterdraw'!$C$38)</f>
        <v>27</v>
      </c>
      <c r="C66" s="29" t="str">
        <f>IF(B66="","bye",CONCATENATE(VLOOKUP(B66,'[2]Rank'!$A$3:$D$300,2),"  (",VLOOKUP(B66,'[2]Rank'!$A$3:$D$300,3),")"))</f>
        <v>Skalský Ondřej  (SK Přerov)</v>
      </c>
      <c r="D66" s="194"/>
      <c r="E66" s="43">
        <f>IF($B64="","",IF($B66="","",IF('[2]I.st-výs-KO'!$P17="","",'[2]I.st-výs-KO'!$S17)))</f>
      </c>
      <c r="F66" s="56"/>
      <c r="G66" s="40"/>
      <c r="H66" s="40"/>
    </row>
    <row r="67" spans="1:8" ht="25.5">
      <c r="A67" s="196" t="str">
        <f>$A$1</f>
        <v>Bodovací turnaj mládeže ČAST</v>
      </c>
      <c r="B67" s="196"/>
      <c r="C67" s="196"/>
      <c r="D67" s="196"/>
      <c r="E67" s="196"/>
      <c r="F67" s="196"/>
      <c r="G67" s="196"/>
      <c r="H67" s="196"/>
    </row>
    <row r="68" spans="1:8" ht="18.75">
      <c r="A68" s="192" t="str">
        <f>CONCATENATE("Dvouhra"," ",'[2]Turnaj'!$F$6," - ","I. stupeň")</f>
        <v>Dvouhra dorostenci - I. stupeň</v>
      </c>
      <c r="B68" s="192"/>
      <c r="C68" s="192"/>
      <c r="D68" s="192"/>
      <c r="E68" s="192"/>
      <c r="F68" s="192"/>
      <c r="G68" s="192"/>
      <c r="H68" s="192"/>
    </row>
    <row r="69" spans="3:8" ht="15.75">
      <c r="C69" s="22"/>
      <c r="D69" s="24"/>
      <c r="F69" s="61"/>
      <c r="H69" s="61" t="str">
        <f>$G$3</f>
        <v>Hustopeče  21.11.2015</v>
      </c>
    </row>
    <row r="70" spans="1:8" ht="15.75">
      <c r="A70" s="27">
        <v>33</v>
      </c>
      <c r="B70" s="28">
        <f>IF('[2]copy_I.st_KO_afterdraw'!$C$39="","",'[2]copy_I.st_KO_afterdraw'!$C$39)</f>
        <v>26</v>
      </c>
      <c r="C70" s="29" t="str">
        <f>IF(B70="","bye",CONCATENATE(VLOOKUP(B70,'[2]Rank'!$A$3:$D$300,2),"  (",VLOOKUP(B70,'[2]Rank'!$A$3:$D$300,3),")"))</f>
        <v>Martinko Tomáš  (TJ Ostrava KST)</v>
      </c>
      <c r="E70" s="22"/>
      <c r="F70" s="30"/>
      <c r="H70" s="31" t="s">
        <v>7</v>
      </c>
    </row>
    <row r="71" spans="1:8" ht="12.75">
      <c r="A71" s="27"/>
      <c r="C71" s="22"/>
      <c r="D71" s="193">
        <v>17</v>
      </c>
      <c r="E71" s="33" t="str">
        <f>IF(OR($B70="",$B72=""),IF($B70="",IF($B72="","",'[2]I.st-výs-KO'!$F18),'[2]I.st-výs-KO'!$C18),'[2]I.st-výs-KO'!$Q18)</f>
        <v>Martinko Tomáš</v>
      </c>
      <c r="F71" s="34"/>
      <c r="H71" s="30"/>
    </row>
    <row r="72" spans="1:7" ht="12.75">
      <c r="A72" s="27">
        <v>34</v>
      </c>
      <c r="B72" s="28">
        <f>IF('[2]copy_I.st_KO_afterdraw'!$C$40="","",'[2]copy_I.st_KO_afterdraw'!$C$40)</f>
      </c>
      <c r="C72" s="36" t="str">
        <f>IF(B72="","bye",CONCATENATE(VLOOKUP(B72,'[2]Rank'!$A$3:$D$300,2),"  (",VLOOKUP(B72,'[2]Rank'!$A$3:$D$300,3),")"))</f>
        <v>bye</v>
      </c>
      <c r="D72" s="194"/>
      <c r="E72" s="43">
        <f>IF($B70="","",IF($B72="","",IF('[2]I.st-výs-KO'!$P18="","",'[2]I.st-výs-KO'!$S18)))</f>
      </c>
      <c r="F72" s="53"/>
      <c r="G72" s="41"/>
    </row>
    <row r="73" spans="1:7" ht="12.75">
      <c r="A73" s="27"/>
      <c r="C73" s="22"/>
      <c r="D73" s="39"/>
      <c r="E73" s="195">
        <f>IF(AND('[2]Turnaj'!$L$10=16,'[2]copy_before_draw_I_st'!$F$1&gt;64),73,IF(AND('[2]Turnaj'!$L$10=8,'[2]copy_before_draw_I_st'!$F$1&gt;64),73,IF(AND('[2]Turnaj'!$L$10=16,'[2]copy_before_draw_I_st'!$F$1&lt;=64),41,IF(AND('[2]Turnaj'!$L$10=8,'[2]copy_before_draw_I_st'!$F$1&lt;=64),41,""))))</f>
        <v>73</v>
      </c>
      <c r="F73" s="47" t="str">
        <f>IF($E$73=41,IF('[2]I.st-výs-KO'!$Q43="","",'[2]I.st-výs-KO'!$Q43),IF($E$73=73,IF('[2]I.st-výs-KO'!$Q75="","",'[2]I.st-výs-KO'!$Q75),""))</f>
        <v>Martinko Tomáš</v>
      </c>
      <c r="G73" s="41"/>
    </row>
    <row r="74" spans="1:7" ht="12.75">
      <c r="A74" s="27">
        <v>35</v>
      </c>
      <c r="B74" s="28">
        <f>IF('[2]copy_I.st_KO_afterdraw'!$C$41="","",'[2]copy_I.st_KO_afterdraw'!$C$41)</f>
        <v>196</v>
      </c>
      <c r="C74" s="36" t="str">
        <f>IF(B74="","bye",CONCATENATE(VLOOKUP(B74,'[2]Rank'!$A$3:$D$300,2),"  (",VLOOKUP(B74,'[2]Rank'!$A$3:$D$300,3),")"))</f>
        <v>Lisý Tomáš  (TJ Jevišovka)</v>
      </c>
      <c r="D74" s="39"/>
      <c r="E74" s="195"/>
      <c r="F74" s="52" t="str">
        <f>IF($E$73=41,IF('[2]I.st-výs-KO'!$P43="","",'[2]I.st-výs-KO'!$S43),IF($E$73=73,IF('[2]I.st-výs-KO'!$P75="","",'[2]I.st-výs-KO'!$S75),""))</f>
        <v>3:0 (9,5,5)</v>
      </c>
      <c r="G74" s="40"/>
    </row>
    <row r="75" spans="1:7" ht="12.75">
      <c r="A75" s="27"/>
      <c r="C75" s="22"/>
      <c r="D75" s="193">
        <v>18</v>
      </c>
      <c r="E75" s="33" t="str">
        <f>IF(OR($B74="",$B76=""),IF($B74="",IF($B76="","",'[2]I.st-výs-KO'!$F19),'[2]I.st-výs-KO'!$C19),'[2]I.st-výs-KO'!$Q19)</f>
        <v>Goldman David</v>
      </c>
      <c r="F75" s="62"/>
      <c r="G75" s="40"/>
    </row>
    <row r="76" spans="1:7" ht="12.75">
      <c r="A76" s="27">
        <v>36</v>
      </c>
      <c r="B76" s="28">
        <f>IF('[2]copy_I.st_KO_afterdraw'!$C$42="","",'[2]copy_I.st_KO_afterdraw'!$C$42)</f>
        <v>138</v>
      </c>
      <c r="C76" s="29" t="str">
        <f>IF(B76="","bye",CONCATENATE(VLOOKUP(B76,'[2]Rank'!$A$3:$D$300,2),"  (",VLOOKUP(B76,'[2]Rank'!$A$3:$D$300,3),")"))</f>
        <v>Goldman David  (KST ZŠ Vyšší Brod)</v>
      </c>
      <c r="D76" s="194"/>
      <c r="E76" s="43" t="str">
        <f>IF($B74="","",IF($B76="","",IF('[2]I.st-výs-KO'!$P19="","",'[2]I.st-výs-KO'!$S19)))</f>
        <v>3:0 (6,3,5)</v>
      </c>
      <c r="F76" s="40"/>
      <c r="G76" s="40"/>
    </row>
    <row r="77" spans="1:8" ht="12.75">
      <c r="A77" s="27"/>
      <c r="C77" s="22"/>
      <c r="D77" s="39"/>
      <c r="E77" s="44"/>
      <c r="F77" s="190">
        <f>IF(AND('[2]Turnaj'!$L$10=16,'[2]copy_before_draw_I_st'!$F$1&gt;64),101,IF(AND('[2]Turnaj'!$L$10=8,'[2]copy_before_draw_I_st'!$F$1&gt;64),101,IF(AND('[2]Turnaj'!$L$10=8,'[2]copy_before_draw_I_st'!$F$1&lt;=64),53,"")))</f>
        <v>101</v>
      </c>
      <c r="G77" s="40" t="str">
        <f>IF($F$77=53,IF('[2]I.st-výs-KO'!$Q56="","",'[2]I.st-výs-KO'!$Q56),IF($F$77=101,IF('[2]I.st-výs-KO'!$Q104="","",'[2]I.st-výs-KO'!$Q104),""))</f>
        <v>Martinko Tomáš</v>
      </c>
      <c r="H77" s="46"/>
    </row>
    <row r="78" spans="1:8" ht="12.75">
      <c r="A78" s="27">
        <v>37</v>
      </c>
      <c r="B78" s="28">
        <f>IF('[2]copy_I.st_KO_afterdraw'!$C$43="","",'[2]copy_I.st_KO_afterdraw'!$C$43)</f>
        <v>62</v>
      </c>
      <c r="C78" s="29" t="str">
        <f>IF(B78="","bye",CONCATENATE(VLOOKUP(B78,'[2]Rank'!$A$3:$D$300,2),"  (",VLOOKUP(B78,'[2]Rank'!$A$3:$D$300,3),")"))</f>
        <v>Dvořák Petr  (TTC Elizza Praha)</v>
      </c>
      <c r="D78" s="39"/>
      <c r="E78" s="44"/>
      <c r="F78" s="190"/>
      <c r="G78" s="40" t="str">
        <f>IF($F$77=53,IF('[2]I.st-výs-KO'!$P56="","",'[2]I.st-výs-KO'!$S56),IF($F$77=101,IF('[2]I.st-výs-KO'!$P104="","",'[2]I.st-výs-KO'!$S104),""))</f>
        <v>3:0 (7,8,7)</v>
      </c>
      <c r="H78" s="46"/>
    </row>
    <row r="79" spans="1:8" ht="12.75">
      <c r="A79" s="27"/>
      <c r="C79" s="22"/>
      <c r="D79" s="193">
        <v>19</v>
      </c>
      <c r="E79" s="33" t="str">
        <f>IF(OR($B78="",$B80=""),IF($B78="",IF($B80="","",'[2]I.st-výs-KO'!$F20),'[2]I.st-výs-KO'!$C20),'[2]I.st-výs-KO'!$Q20)</f>
        <v>Dvořák Petr</v>
      </c>
      <c r="F79" s="40"/>
      <c r="G79" s="40"/>
      <c r="H79" s="46"/>
    </row>
    <row r="80" spans="1:8" ht="12.75">
      <c r="A80" s="27">
        <v>38</v>
      </c>
      <c r="B80" s="28">
        <f>IF('[2]copy_I.st_KO_afterdraw'!$C$44="","",'[2]copy_I.st_KO_afterdraw'!$C$44)</f>
        <v>80</v>
      </c>
      <c r="C80" s="36" t="str">
        <f>IF(B80="","bye",CONCATENATE(VLOOKUP(B80,'[2]Rank'!$A$3:$D$300,2),"  (",VLOOKUP(B80,'[2]Rank'!$A$3:$D$300,3),")"))</f>
        <v>Jirásek Martin  (TJ Sokol PP Hradec Králové 2)</v>
      </c>
      <c r="D80" s="194"/>
      <c r="E80" s="37" t="str">
        <f>IF($B78="","",IF($B80="","",IF('[2]I.st-výs-KO'!$P20="","",'[2]I.st-výs-KO'!$S20)))</f>
        <v>3:2 (9,-10,-5,6,7)</v>
      </c>
      <c r="F80" s="62"/>
      <c r="G80" s="40"/>
      <c r="H80" s="46"/>
    </row>
    <row r="81" spans="1:8" ht="12.75">
      <c r="A81" s="27"/>
      <c r="C81" s="22"/>
      <c r="D81" s="39"/>
      <c r="E81" s="195">
        <f>IF(AND('[2]Turnaj'!$L$10=16,'[2]copy_before_draw_I_st'!$F$1&gt;64),74,IF(AND('[2]Turnaj'!$L$10=8,'[2]copy_before_draw_I_st'!$F$1&gt;64),74,IF(AND('[2]Turnaj'!$L$10=16,'[2]copy_before_draw_I_st'!$F$1&lt;=64),42,IF(AND('[2]Turnaj'!$L$10=8,'[2]copy_before_draw_I_st'!$F$1&lt;=64),42,""))))</f>
        <v>74</v>
      </c>
      <c r="F81" s="58" t="str">
        <f>IF($E$81=42,IF('[2]I.st-výs-KO'!$Q44="","",'[2]I.st-výs-KO'!$Q44),IF($E$81=74,IF('[2]I.st-výs-KO'!$Q76="","",'[2]I.st-výs-KO'!$Q76),""))</f>
        <v>Dvořák Petr</v>
      </c>
      <c r="G81" s="40"/>
      <c r="H81" s="46"/>
    </row>
    <row r="82" spans="1:8" ht="12.75">
      <c r="A82" s="27">
        <v>39</v>
      </c>
      <c r="B82" s="28">
        <f>IF('[2]copy_I.st_KO_afterdraw'!$C$45="","",'[2]copy_I.st_KO_afterdraw'!$C$45)</f>
      </c>
      <c r="C82" s="36" t="str">
        <f>IF(B82="","bye",CONCATENATE(VLOOKUP(B82,'[2]Rank'!$A$3:$D$300,2),"  (",VLOOKUP(B82,'[2]Rank'!$A$3:$D$300,3),")"))</f>
        <v>bye</v>
      </c>
      <c r="D82" s="45"/>
      <c r="E82" s="195"/>
      <c r="F82" s="63" t="str">
        <f>IF($E$81=42,IF('[2]I.st-výs-KO'!$P44="","",'[2]I.st-výs-KO'!$S44),IF($E$81=74,IF('[2]I.st-výs-KO'!$P76="","",'[2]I.st-výs-KO'!$S76),""))</f>
        <v>3:1 (9,-3,8,5)</v>
      </c>
      <c r="G82" s="40"/>
      <c r="H82" s="46"/>
    </row>
    <row r="83" spans="1:8" ht="12.75">
      <c r="A83" s="27"/>
      <c r="C83" s="22"/>
      <c r="D83" s="193">
        <v>20</v>
      </c>
      <c r="E83" s="33" t="str">
        <f>IF(OR($B82="",$B84=""),IF($B82="",IF($B84="","",'[2]I.st-výs-KO'!$F21),'[2]I.st-výs-KO'!$C21),'[2]I.st-výs-KO'!$Q21)</f>
        <v>Blinka Michal</v>
      </c>
      <c r="F83" s="64"/>
      <c r="G83" s="40"/>
      <c r="H83" s="46"/>
    </row>
    <row r="84" spans="1:8" ht="12.75">
      <c r="A84" s="27">
        <v>40</v>
      </c>
      <c r="B84" s="28">
        <f>IF('[2]copy_I.st_KO_afterdraw'!$C$46="","",'[2]copy_I.st_KO_afterdraw'!$C$46)</f>
        <v>58</v>
      </c>
      <c r="C84" s="29" t="str">
        <f>IF(B84="","bye",CONCATENATE(VLOOKUP(B84,'[2]Rank'!$A$3:$D$300,2),"  (",VLOOKUP(B84,'[2]Rank'!$A$3:$D$300,3),")"))</f>
        <v>Blinka Michal  (SKST Liberec)</v>
      </c>
      <c r="D84" s="194"/>
      <c r="E84" s="43">
        <f>IF($B82="","",IF($B84="","",IF('[2]I.st-výs-KO'!$P21="","",'[2]I.st-výs-KO'!$S21)))</f>
      </c>
      <c r="F84" s="40"/>
      <c r="G84" s="40"/>
      <c r="H84" s="46"/>
    </row>
    <row r="85" spans="1:8" ht="12.75">
      <c r="A85" s="27"/>
      <c r="C85" s="22"/>
      <c r="D85" s="39"/>
      <c r="F85" s="47"/>
      <c r="G85" s="190">
        <f>IF(AND('[2]Turnaj'!$L$10=8,'[2]copy_before_draw_I_st'!$F$1&gt;64),115,"")</f>
      </c>
      <c r="H85" s="48">
        <f>IF($G$85=115,IF('[2]I.st-výs-KO'!$Q119="","",'[2]I.st-výs-KO'!$Q119),"")</f>
      </c>
    </row>
    <row r="86" spans="1:8" ht="12.75">
      <c r="A86" s="27">
        <v>41</v>
      </c>
      <c r="B86" s="28">
        <f>IF('[2]copy_I.st_KO_afterdraw'!$C$47="","",'[2]copy_I.st_KO_afterdraw'!$C$47)</f>
        <v>44</v>
      </c>
      <c r="C86" s="29" t="str">
        <f>IF(B86="","bye",CONCATENATE(VLOOKUP(B86,'[2]Rank'!$A$3:$D$300,2),"  (",VLOOKUP(B86,'[2]Rank'!$A$3:$D$300,3),")"))</f>
        <v>Vybíral Filip  (TJ Lanškroun)</v>
      </c>
      <c r="D86" s="49"/>
      <c r="E86" s="44"/>
      <c r="F86" s="46"/>
      <c r="G86" s="190"/>
      <c r="H86" s="40">
        <f>IF($G$85=115,IF('[2]I.st-výs-KO'!$P119="","",'[2]I.st-výs-KO'!$S119),"")</f>
      </c>
    </row>
    <row r="87" spans="1:8" ht="12.75">
      <c r="A87" s="27"/>
      <c r="C87" s="50"/>
      <c r="D87" s="193">
        <v>21</v>
      </c>
      <c r="E87" s="33" t="str">
        <f>IF(OR($B86="",$B88=""),IF($B86="",IF($B88="","",'[2]I.st-výs-KO'!$F22),'[2]I.st-výs-KO'!$C22),'[2]I.st-výs-KO'!$Q22)</f>
        <v>Vybíral Filip</v>
      </c>
      <c r="F87" s="38"/>
      <c r="G87" s="40"/>
      <c r="H87" s="46"/>
    </row>
    <row r="88" spans="1:8" ht="12.75">
      <c r="A88" s="27">
        <v>42</v>
      </c>
      <c r="B88" s="28">
        <f>IF('[2]copy_I.st_KO_afterdraw'!$C$48="","",'[2]copy_I.st_KO_afterdraw'!$C$48)</f>
      </c>
      <c r="C88" s="36" t="str">
        <f>IF(B88="","bye",CONCATENATE(VLOOKUP(B88,'[2]Rank'!$A$3:$D$300,2),"  (",VLOOKUP(B88,'[2]Rank'!$A$3:$D$300,3),")"))</f>
        <v>bye</v>
      </c>
      <c r="D88" s="194"/>
      <c r="E88" s="37">
        <f>IF($B86="","",IF($B88="","",IF('[2]I.st-výs-KO'!$P22="","",'[2]I.st-výs-KO'!$S22)))</f>
      </c>
      <c r="F88" s="38"/>
      <c r="G88" s="40"/>
      <c r="H88" s="46"/>
    </row>
    <row r="89" spans="1:8" ht="12.75">
      <c r="A89" s="27"/>
      <c r="C89" s="27"/>
      <c r="D89" s="51"/>
      <c r="E89" s="195">
        <f>IF(AND('[2]Turnaj'!$L$10=16,'[2]copy_before_draw_I_st'!$F$1&gt;64),75,IF(AND('[2]Turnaj'!$L$10=8,'[2]copy_before_draw_I_st'!$F$1&gt;64),75,IF(AND('[2]Turnaj'!$L$10=16,'[2]copy_before_draw_I_st'!$F$1&lt;=64),43,IF(AND('[2]Turnaj'!$L$10=8,'[2]copy_before_draw_I_st'!$F$1&lt;=64),43,""))))</f>
        <v>75</v>
      </c>
      <c r="F89" s="47" t="str">
        <f>IF($E$89=43,IF('[2]I.st-výs-KO'!$Q45="","",'[2]I.st-výs-KO'!$Q45),IF($E$89=75,IF('[2]I.st-výs-KO'!$Q77="","",'[2]I.st-výs-KO'!$Q77),""))</f>
        <v>Vybíral Filip</v>
      </c>
      <c r="G89" s="40"/>
      <c r="H89" s="46"/>
    </row>
    <row r="90" spans="1:8" ht="12.75">
      <c r="A90" s="27">
        <v>43</v>
      </c>
      <c r="B90" s="28">
        <f>IF('[2]copy_I.st_KO_afterdraw'!$C$49="","",'[2]copy_I.st_KO_afterdraw'!$C$49)</f>
        <v>103</v>
      </c>
      <c r="C90" s="36" t="str">
        <f>IF(B90="","bye",CONCATENATE(VLOOKUP(B90,'[2]Rank'!$A$3:$D$300,2),"  (",VLOOKUP(B90,'[2]Rank'!$A$3:$D$300,3),")"))</f>
        <v>Šimůnek Ondřej  (TJ Slavoj Praha)</v>
      </c>
      <c r="D90" s="51"/>
      <c r="E90" s="195"/>
      <c r="F90" s="52" t="str">
        <f>IF($E$89=43,IF('[2]I.st-výs-KO'!$P45="","",'[2]I.st-výs-KO'!$S45),IF($E$89=75,IF('[2]I.st-výs-KO'!$P77="","",'[2]I.st-výs-KO'!$S77),""))</f>
        <v>3:1 (9,-3,10,5)</v>
      </c>
      <c r="G90" s="40"/>
      <c r="H90" s="46"/>
    </row>
    <row r="91" spans="1:8" ht="12.75">
      <c r="A91" s="27"/>
      <c r="C91" s="50"/>
      <c r="D91" s="193">
        <v>22</v>
      </c>
      <c r="E91" s="33" t="str">
        <f>IF(OR($B90="",$B92=""),IF($B90="",IF($B92="","",'[2]I.st-výs-KO'!$F23),'[2]I.st-výs-KO'!#REF!),'[2]I.st-výs-KO'!$Q23)</f>
        <v>Šimůnek Ondřej</v>
      </c>
      <c r="F91" s="53"/>
      <c r="G91" s="40"/>
      <c r="H91" s="46"/>
    </row>
    <row r="92" spans="1:8" ht="12.75">
      <c r="A92" s="27">
        <v>44</v>
      </c>
      <c r="B92" s="28">
        <f>IF('[2]copy_I.st_KO_afterdraw'!$C$50="","",'[2]copy_I.st_KO_afterdraw'!$C$50)</f>
        <v>199</v>
      </c>
      <c r="C92" s="29" t="str">
        <f>IF(B92="","bye",CONCATENATE(VLOOKUP(B92,'[2]Rank'!$A$3:$D$300,2),"  (",VLOOKUP(B92,'[2]Rank'!$A$3:$D$300,3),")"))</f>
        <v>Hemer Matyáš  (TTC Litoměřice)</v>
      </c>
      <c r="D92" s="194"/>
      <c r="E92" s="43" t="str">
        <f>IF($B90="","",IF($B92="","",IF('[2]I.st-výs-KO'!$P23="","",'[2]I.st-výs-KO'!$S23)))</f>
        <v>wo</v>
      </c>
      <c r="F92" s="38"/>
      <c r="G92" s="40"/>
      <c r="H92" s="46"/>
    </row>
    <row r="93" spans="1:8" ht="12.75">
      <c r="A93" s="27"/>
      <c r="C93" s="27"/>
      <c r="D93" s="51"/>
      <c r="E93" s="54"/>
      <c r="F93" s="190">
        <f>IF(AND('[2]Turnaj'!$L$10=16,'[2]copy_before_draw_I_st'!$F$1&gt;64),102,IF(AND('[2]Turnaj'!$L$10=8,'[2]copy_before_draw_I_st'!$F$1&gt;64),102,IF(AND('[2]Turnaj'!$L$10=8,'[2]copy_before_draw_I_st'!$F$1&lt;=64),54,"")))</f>
        <v>102</v>
      </c>
      <c r="G93" s="40" t="str">
        <f>IF($F$93=54,IF('[2]I.st-výs-KO'!$Q57="","",'[2]I.st-výs-KO'!$Q57),IF($F$93=102,IF('[2]I.st-výs-KO'!$Q105="","",'[2]I.st-výs-KO'!$Q105),""))</f>
        <v>Vlach Martin</v>
      </c>
      <c r="H93" s="46"/>
    </row>
    <row r="94" spans="1:8" ht="12.75">
      <c r="A94" s="27">
        <v>45</v>
      </c>
      <c r="B94" s="28">
        <f>IF('[2]copy_I.st_KO_afterdraw'!$C$51="","",'[2]copy_I.st_KO_afterdraw'!$C$51)</f>
        <v>116</v>
      </c>
      <c r="C94" s="29" t="str">
        <f>IF(B94="","bye",CONCATENATE(VLOOKUP(B94,'[2]Rank'!$A$3:$D$300,2),"  (",VLOOKUP(B94,'[2]Rank'!$A$3:$D$300,3),")"))</f>
        <v>Zeman Lukáš  (KST Orel ČB)</v>
      </c>
      <c r="D94" s="49"/>
      <c r="E94" s="22"/>
      <c r="F94" s="190"/>
      <c r="G94" s="40" t="str">
        <f>IF($F$93=54,IF('[2]I.st-výs-KO'!$P57="","",'[2]I.st-výs-KO'!$S57),IF($F$93=102,IF('[2]I.st-výs-KO'!$P105="","",'[2]I.st-výs-KO'!$S105),""))</f>
        <v>3:2 (-11,8,-4,9,10)</v>
      </c>
      <c r="H94" s="46"/>
    </row>
    <row r="95" spans="1:8" ht="12.75">
      <c r="A95" s="27"/>
      <c r="C95" s="55"/>
      <c r="D95" s="193">
        <v>23</v>
      </c>
      <c r="E95" s="33" t="str">
        <f>IF(OR($B94="",$B96=""),IF($B94="",IF($B96="","",'[2]I.st-výs-KO'!$F24),'[2]I.st-výs-KO'!$C24),'[2]I.st-výs-KO'!$Q24)</f>
        <v>Zeman Lukáš</v>
      </c>
      <c r="F95" s="56"/>
      <c r="G95" s="40"/>
      <c r="H95" s="46"/>
    </row>
    <row r="96" spans="1:8" ht="12.75">
      <c r="A96" s="27">
        <v>46</v>
      </c>
      <c r="B96" s="28">
        <f>IF('[2]copy_I.st_KO_afterdraw'!$C$52="","",'[2]copy_I.st_KO_afterdraw'!$C$52)</f>
        <v>98</v>
      </c>
      <c r="C96" s="36" t="str">
        <f>IF(B96="","bye",CONCATENATE(VLOOKUP(B96,'[2]Rank'!$A$3:$D$300,2),"  (",VLOOKUP(B96,'[2]Rank'!$A$3:$D$300,3),")"))</f>
        <v>Šimota Dominik  (DDM Soběslav)</v>
      </c>
      <c r="D96" s="194"/>
      <c r="E96" s="43" t="str">
        <f>IF($B94="","",IF($B96="","",IF('[2]I.st-výs-KO'!$P24="","",'[2]I.st-výs-KO'!$S24)))</f>
        <v>3:1 (9,-9,4,8)</v>
      </c>
      <c r="F96" s="57"/>
      <c r="G96" s="40"/>
      <c r="H96" s="46"/>
    </row>
    <row r="97" spans="1:8" ht="12.75">
      <c r="A97" s="27"/>
      <c r="C97" s="27"/>
      <c r="D97" s="49"/>
      <c r="E97" s="195">
        <f>IF(AND('[2]Turnaj'!$L$10=16,'[2]copy_before_draw_I_st'!$F$1&gt;64),76,IF(AND('[2]Turnaj'!$L$10=8,'[2]copy_before_draw_I_st'!$F$1&gt;64),76,IF(AND('[2]Turnaj'!$L$10=16,'[2]copy_before_draw_I_st'!$F$1&lt;=64),44,IF(AND('[2]Turnaj'!$L$10=8,'[2]copy_before_draw_I_st'!$F$1&lt;=64),44,""))))</f>
        <v>76</v>
      </c>
      <c r="F97" s="58" t="str">
        <f>IF($E$97=44,IF('[2]I.st-výs-KO'!$Q46="","",'[2]I.st-výs-KO'!$Q46),IF($E$97=76,IF('[2]I.st-výs-KO'!$Q78="","",'[2]I.st-výs-KO'!$Q78),""))</f>
        <v>Vlach Martin</v>
      </c>
      <c r="G97" s="40"/>
      <c r="H97" s="46"/>
    </row>
    <row r="98" spans="1:8" ht="12.75">
      <c r="A98" s="27">
        <v>47</v>
      </c>
      <c r="B98" s="28">
        <f>IF('[2]copy_I.st_KO_afterdraw'!$C$53="","",'[2]copy_I.st_KO_afterdraw'!$C$53)</f>
      </c>
      <c r="C98" s="36" t="str">
        <f>IF(B98="","bye",CONCATENATE(VLOOKUP(B98,'[2]Rank'!$A$3:$D$300,2),"  (",VLOOKUP(B98,'[2]Rank'!$A$3:$D$300,3),")"))</f>
        <v>bye</v>
      </c>
      <c r="D98" s="49"/>
      <c r="E98" s="195"/>
      <c r="F98" s="52" t="str">
        <f>IF($E$97=44,IF('[2]I.st-výs-KO'!$P46="","",'[2]I.st-výs-KO'!$S46),IF($E$97=76,IF('[2]I.st-výs-KO'!$P78="","",'[2]I.st-výs-KO'!$S78),""))</f>
        <v>3:0 (8,6,13)</v>
      </c>
      <c r="G98" s="40"/>
      <c r="H98" s="46"/>
    </row>
    <row r="99" spans="1:8" ht="12.75">
      <c r="A99" s="27"/>
      <c r="C99" s="50"/>
      <c r="D99" s="193">
        <v>24</v>
      </c>
      <c r="E99" s="33" t="str">
        <f>IF(OR($B98="",$B100=""),IF($B98="",IF($B100="","",'[2]I.st-výs-KO'!$F25),'[2]I.st-výs-KO'!$C25),'[2]I.st-výs-KO'!$Q25)</f>
        <v>Vlach Martin</v>
      </c>
      <c r="F99" s="57"/>
      <c r="G99" s="40"/>
      <c r="H99" s="46"/>
    </row>
    <row r="100" spans="1:8" ht="12.75">
      <c r="A100" s="27">
        <v>48</v>
      </c>
      <c r="B100" s="28">
        <f>IF('[2]copy_I.st_KO_afterdraw'!$C$54="","",'[2]copy_I.st_KO_afterdraw'!$C$54)</f>
        <v>30</v>
      </c>
      <c r="C100" s="29" t="str">
        <f>IF(B100="","bye",CONCATENATE(VLOOKUP(B100,'[2]Rank'!$A$3:$D$300,2),"  (",VLOOKUP(B100,'[2]Rank'!$A$3:$D$300,3),")"))</f>
        <v>Vlach Martin  (SK Přerov)</v>
      </c>
      <c r="D100" s="194"/>
      <c r="E100" s="43">
        <f>IF($B98="","",IF($B100="","",IF('[2]I.st-výs-KO'!$P25="","",'[2]I.st-výs-KO'!$S25)))</f>
      </c>
      <c r="F100" s="56"/>
      <c r="G100" s="40"/>
      <c r="H100" s="46"/>
    </row>
    <row r="101" spans="1:8" ht="12.75">
      <c r="A101" s="27"/>
      <c r="B101" s="27"/>
      <c r="D101" s="20"/>
      <c r="F101" s="56"/>
      <c r="G101" s="40"/>
      <c r="H101" s="46"/>
    </row>
    <row r="102" spans="1:8" ht="12.75">
      <c r="A102" s="27">
        <v>49</v>
      </c>
      <c r="B102" s="28">
        <f>IF('[2]copy_I.st_KO_afterdraw'!$C$55="","",'[2]copy_I.st_KO_afterdraw'!$C$55)</f>
        <v>36</v>
      </c>
      <c r="C102" s="29" t="str">
        <f>IF(B102="","bye",CONCATENATE(VLOOKUP(B102,'[2]Rank'!$A$3:$D$300,2),"  (",VLOOKUP(B102,'[2]Rank'!$A$3:$D$300,3),")"))</f>
        <v>Kortus Filip  (SK Pedagog ČB)</v>
      </c>
      <c r="D102" s="39"/>
      <c r="F102" s="46"/>
      <c r="G102" s="40"/>
      <c r="H102" s="46"/>
    </row>
    <row r="103" spans="1:8" ht="12.75">
      <c r="A103" s="27"/>
      <c r="B103" s="27"/>
      <c r="C103" s="55"/>
      <c r="D103" s="193">
        <v>25</v>
      </c>
      <c r="E103" s="33" t="str">
        <f>IF(OR($B102="",$B104=""),IF($B102="",IF($B104="","",'[2]I.st-výs-KO'!$F26),'[2]I.st-výs-KO'!$C26),'[2]I.st-výs-KO'!$Q26)</f>
        <v>Kortus Filip</v>
      </c>
      <c r="F103" s="46"/>
      <c r="G103" s="40"/>
      <c r="H103" s="46"/>
    </row>
    <row r="104" spans="1:8" ht="12.75">
      <c r="A104" s="27">
        <v>50</v>
      </c>
      <c r="B104" s="28">
        <f>IF('[2]copy_I.st_KO_afterdraw'!$C$56="","",'[2]copy_I.st_KO_afterdraw'!$C$56)</f>
      </c>
      <c r="C104" s="36" t="str">
        <f>IF(B104="","bye",CONCATENATE(VLOOKUP(B104,'[2]Rank'!$A$3:$D$300,2),"  (",VLOOKUP(B104,'[2]Rank'!$A$3:$D$300,3),")"))</f>
        <v>bye</v>
      </c>
      <c r="D104" s="194"/>
      <c r="E104" s="43">
        <f>IF($B102="","",IF($B104="","",IF('[2]I.st-výs-KO'!$P26="","",'[2]I.st-výs-KO'!$S26)))</f>
      </c>
      <c r="F104" s="57"/>
      <c r="G104" s="40"/>
      <c r="H104" s="46"/>
    </row>
    <row r="105" spans="1:8" ht="12.75">
      <c r="A105" s="27"/>
      <c r="B105" s="27"/>
      <c r="D105" s="20"/>
      <c r="E105" s="195">
        <f>IF(AND('[2]Turnaj'!$L$10=16,'[2]copy_before_draw_I_st'!$F$1&gt;64),77,IF(AND('[2]Turnaj'!$L$10=8,'[2]copy_before_draw_I_st'!$F$1&gt;64),77,IF(AND('[2]Turnaj'!$L$10=16,'[2]copy_before_draw_I_st'!$F$1&lt;=64),45,IF(AND('[2]Turnaj'!$L$10=8,'[2]copy_before_draw_I_st'!$F$1&lt;=64),45,""))))</f>
        <v>77</v>
      </c>
      <c r="F105" s="47" t="str">
        <f>IF($E$105=45,IF('[2]I.st-výs-KO'!$Q47="","",'[2]I.st-výs-KO'!$Q47),IF($E$105=77,IF('[2]I.st-výs-KO'!$Q79="","",'[2]I.st-výs-KO'!$Q79),""))</f>
        <v>Kortus Filip</v>
      </c>
      <c r="G105" s="40"/>
      <c r="H105" s="46"/>
    </row>
    <row r="106" spans="1:8" ht="12.75">
      <c r="A106" s="27">
        <v>51</v>
      </c>
      <c r="B106" s="28">
        <f>IF('[2]copy_I.st_KO_afterdraw'!$C$57="","",'[2]copy_I.st_KO_afterdraw'!$C$57)</f>
        <v>114</v>
      </c>
      <c r="C106" s="36" t="str">
        <f>IF(B106="","bye",CONCATENATE(VLOOKUP(B106,'[2]Rank'!$A$3:$D$300,2),"  (",VLOOKUP(B106,'[2]Rank'!$A$3:$D$300,3),")"))</f>
        <v>Veigl Lukáš  (KST Jeseník)</v>
      </c>
      <c r="D106" s="51"/>
      <c r="E106" s="195"/>
      <c r="F106" s="52" t="str">
        <f>IF($E$105=45,IF('[2]I.st-výs-KO'!$P47="","",'[2]I.st-výs-KO'!$S47),IF($E$105=77,IF('[2]I.st-výs-KO'!$P79="","",'[2]I.st-výs-KO'!$S79),""))</f>
        <v>3:0 (7,8,6)</v>
      </c>
      <c r="G106" s="40"/>
      <c r="H106" s="46"/>
    </row>
    <row r="107" spans="1:8" ht="12.75">
      <c r="A107" s="27"/>
      <c r="B107" s="27"/>
      <c r="C107" s="50"/>
      <c r="D107" s="193">
        <v>26</v>
      </c>
      <c r="E107" s="33" t="str">
        <f>IF(OR($B106="",$B108=""),IF($B106="",IF($B108="","",'[2]I.st-výs-KO'!$F27),'[2]I.st-výs-KO'!$C27),'[2]I.st-výs-KO'!$Q27)</f>
        <v>Veigl Lukáš</v>
      </c>
      <c r="F107" s="57"/>
      <c r="G107" s="40"/>
      <c r="H107" s="46"/>
    </row>
    <row r="108" spans="1:8" ht="12.75">
      <c r="A108" s="27">
        <v>52</v>
      </c>
      <c r="B108" s="28">
        <f>IF('[2]copy_I.st_KO_afterdraw'!$C$58="","",'[2]copy_I.st_KO_afterdraw'!$C$58)</f>
        <v>72</v>
      </c>
      <c r="C108" s="29" t="str">
        <f>IF(B108="","bye",CONCATENATE(VLOOKUP(B108,'[2]Rank'!$A$3:$D$300,2),"  (",VLOOKUP(B108,'[2]Rank'!$A$3:$D$300,3),")"))</f>
        <v>Šebl Jáchym  (TJ Slavoj Praha)</v>
      </c>
      <c r="D108" s="194"/>
      <c r="E108" s="43" t="str">
        <f>IF($B106="","",IF($B108="","",IF('[2]I.st-výs-KO'!$P27="","",'[2]I.st-výs-KO'!$S27)))</f>
        <v>3:0 (5,4,11)</v>
      </c>
      <c r="F108" s="56"/>
      <c r="G108" s="40"/>
      <c r="H108" s="46"/>
    </row>
    <row r="109" spans="1:8" ht="12.75">
      <c r="A109" s="27"/>
      <c r="B109" s="27"/>
      <c r="C109" s="27"/>
      <c r="D109" s="51"/>
      <c r="E109" s="27"/>
      <c r="F109" s="190">
        <f>IF(AND('[2]Turnaj'!$L$10=16,'[2]copy_before_draw_I_st'!$F$1&gt;64),103,IF(AND('[2]Turnaj'!$L$10=8,'[2]copy_before_draw_I_st'!$F$1&gt;64),103,IF(AND('[2]Turnaj'!$L$10=8,'[2]copy_before_draw_I_st'!$F$1&lt;=64),55,"")))</f>
        <v>103</v>
      </c>
      <c r="G109" s="40" t="str">
        <f>IF($F$109=55,IF('[2]I.st-výs-KO'!$Q58="","",'[2]I.st-výs-KO'!$Q58),IF($F$109=103,IF('[2]I.st-výs-KO'!$Q106="","",'[2]I.st-výs-KO'!$Q106),""))</f>
        <v>Kortus Filip</v>
      </c>
      <c r="H109" s="46"/>
    </row>
    <row r="110" spans="1:8" ht="12.75">
      <c r="A110" s="27">
        <v>53</v>
      </c>
      <c r="B110" s="28">
        <f>IF('[2]copy_I.st_KO_afterdraw'!$C$59="","",'[2]copy_I.st_KO_afterdraw'!$C$59)</f>
        <v>179</v>
      </c>
      <c r="C110" s="29" t="str">
        <f>IF(B110="","bye",CONCATENATE(VLOOKUP(B110,'[2]Rank'!$A$3:$D$300,2),"  (",VLOOKUP(B110,'[2]Rank'!$A$3:$D$300,3),")"))</f>
        <v>Šindelář Radim  (TJ Sokol Studená)</v>
      </c>
      <c r="D110" s="51"/>
      <c r="E110" s="27"/>
      <c r="F110" s="190"/>
      <c r="G110" s="40" t="str">
        <f>IF($F$109=55,IF('[2]I.st-výs-KO'!$P58="","",'[2]I.st-výs-KO'!$S58),IF($F$109=103,IF('[2]I.st-výs-KO'!$P106="","",'[2]I.st-výs-KO'!$S106),""))</f>
        <v>3:0 (6,7,6)</v>
      </c>
      <c r="H110" s="46"/>
    </row>
    <row r="111" spans="1:8" ht="12.75">
      <c r="A111" s="27"/>
      <c r="B111" s="27"/>
      <c r="C111" s="50"/>
      <c r="D111" s="193">
        <v>27</v>
      </c>
      <c r="E111" s="33" t="str">
        <f>IF(OR($B110="",$B112=""),IF($B110="",IF($B112="","",'[2]I.st-výs-KO'!$F28),'[2]I.st-výs-KO'!$C28),'[2]I.st-výs-KO'!$Q28)</f>
        <v>Podrazil David</v>
      </c>
      <c r="F111" s="56"/>
      <c r="G111" s="40"/>
      <c r="H111" s="46"/>
    </row>
    <row r="112" spans="1:8" ht="12.75">
      <c r="A112" s="27">
        <v>54</v>
      </c>
      <c r="B112" s="28">
        <f>IF('[2]copy_I.st_KO_afterdraw'!$C$60="","",'[2]copy_I.st_KO_afterdraw'!$C$60)</f>
        <v>94</v>
      </c>
      <c r="C112" s="36" t="str">
        <f>IF(B112="","bye",CONCATENATE(VLOOKUP(B112,'[2]Rank'!$A$3:$D$300,2),"  (",VLOOKUP(B112,'[2]Rank'!$A$3:$D$300,3),")"))</f>
        <v>Podrazil David  (SKST Hodonín)</v>
      </c>
      <c r="D112" s="194"/>
      <c r="E112" s="43" t="str">
        <f>IF($B110="","",IF($B112="","",IF('[2]I.st-výs-KO'!$P28="","",'[2]I.st-výs-KO'!$S28)))</f>
        <v>3:0 (6,7,5)</v>
      </c>
      <c r="F112" s="57"/>
      <c r="G112" s="40"/>
      <c r="H112" s="46"/>
    </row>
    <row r="113" spans="1:8" ht="12.75">
      <c r="A113" s="27"/>
      <c r="B113" s="27"/>
      <c r="C113" s="27"/>
      <c r="D113" s="51"/>
      <c r="E113" s="195">
        <f>IF(AND('[2]Turnaj'!$L$10=16,'[2]copy_before_draw_I_st'!$F$1&gt;64),78,IF(AND('[2]Turnaj'!$L$10=8,'[2]copy_before_draw_I_st'!$F$1&gt;64),78,IF(AND('[2]Turnaj'!$L$10=16,'[2]copy_before_draw_I_st'!$F$1&lt;=64),46,IF(AND('[2]Turnaj'!$L$10=8,'[2]copy_before_draw_I_st'!$F$1&lt;=64),46,""))))</f>
        <v>78</v>
      </c>
      <c r="F113" s="58" t="str">
        <f>IF($E$113=46,IF('[2]I.st-výs-KO'!$Q48="","",'[2]I.st-výs-KO'!$Q48),IF($E$113=78,IF('[2]I.st-výs-KO'!$Q80="","",'[2]I.st-výs-KO'!$Q80),""))</f>
        <v>Podrazil David</v>
      </c>
      <c r="G113" s="40"/>
      <c r="H113" s="46"/>
    </row>
    <row r="114" spans="1:8" ht="12.75">
      <c r="A114" s="27">
        <v>55</v>
      </c>
      <c r="B114" s="28">
        <f>IF('[2]copy_I.st_KO_afterdraw'!$C$61="","",'[2]copy_I.st_KO_afterdraw'!$C$61)</f>
      </c>
      <c r="C114" s="36" t="str">
        <f>IF(B114="","bye",CONCATENATE(VLOOKUP(B114,'[2]Rank'!$A$3:$D$300,2),"  (",VLOOKUP(B114,'[2]Rank'!$A$3:$D$300,3),")"))</f>
        <v>bye</v>
      </c>
      <c r="D114" s="51"/>
      <c r="E114" s="195"/>
      <c r="F114" s="52" t="str">
        <f>IF($E$113=46,IF('[2]I.st-výs-KO'!$P48="","",'[2]I.st-výs-KO'!$S48),IF($E$113=78,IF('[2]I.st-výs-KO'!$P80="","",'[2]I.st-výs-KO'!$S80),""))</f>
        <v>3:0 (9,7,6)</v>
      </c>
      <c r="G114" s="40"/>
      <c r="H114" s="46"/>
    </row>
    <row r="115" spans="1:8" ht="12.75">
      <c r="A115" s="27"/>
      <c r="B115" s="27"/>
      <c r="C115" s="50"/>
      <c r="D115" s="193">
        <v>28</v>
      </c>
      <c r="E115" s="33" t="str">
        <f>IF(OR($B114="",$B116=""),IF($B114="",IF($B116="","",'[2]I.st-výs-KO'!$F29),'[2]I.st-výs-KO'!$C29),'[2]I.st-výs-KO'!$Q29)</f>
        <v>Vaculík Miloslav</v>
      </c>
      <c r="F115" s="57"/>
      <c r="G115" s="40"/>
      <c r="H115" s="46"/>
    </row>
    <row r="116" spans="1:8" ht="12.75">
      <c r="A116" s="27">
        <v>56</v>
      </c>
      <c r="B116" s="28">
        <f>IF('[2]copy_I.st_KO_afterdraw'!$C$62="","",'[2]copy_I.st_KO_afterdraw'!$C$62)</f>
        <v>51</v>
      </c>
      <c r="C116" s="29" t="str">
        <f>IF(B116="","bye",CONCATENATE(VLOOKUP(B116,'[2]Rank'!$A$3:$D$300,2),"  (",VLOOKUP(B116,'[2]Rank'!$A$3:$D$300,3),")"))</f>
        <v>Vaculík Miloslav  (TTC MS Brno)</v>
      </c>
      <c r="D116" s="194"/>
      <c r="E116" s="43">
        <f>IF($B114="","",IF($B116="","",IF('[2]I.st-výs-KO'!$P29="","",'[2]I.st-výs-KO'!$S29)))</f>
      </c>
      <c r="F116" s="56"/>
      <c r="G116" s="40"/>
      <c r="H116" s="46"/>
    </row>
    <row r="117" spans="1:8" ht="12.75">
      <c r="A117" s="27"/>
      <c r="B117" s="27"/>
      <c r="C117" s="27"/>
      <c r="D117" s="51"/>
      <c r="E117" s="27"/>
      <c r="F117" s="56"/>
      <c r="G117" s="190">
        <f>IF(AND('[2]Turnaj'!$L$10=8,'[2]copy_before_draw_I_st'!$F$1&gt;64),116,"")</f>
      </c>
      <c r="H117" s="48">
        <f>IF($G$117=116,IF('[2]I.st-výs-KO'!$Q120="","",'[2]I.st-výs-KO'!$Q120),"")</f>
      </c>
    </row>
    <row r="118" spans="1:8" ht="12.75">
      <c r="A118" s="27">
        <v>57</v>
      </c>
      <c r="B118" s="28">
        <f>IF('[2]copy_I.st_KO_afterdraw'!$C$63="","",'[2]copy_I.st_KO_afterdraw'!$C$63)</f>
        <v>46</v>
      </c>
      <c r="C118" s="29" t="str">
        <f>IF(B118="","bye",CONCATENATE(VLOOKUP(B118,'[2]Rank'!$A$3:$D$300,2),"  (",VLOOKUP(B118,'[2]Rank'!$A$3:$D$300,3),")"))</f>
        <v>Hýbl Jan  (TJ Sokol PP Hradec Králové 2)</v>
      </c>
      <c r="D118" s="65"/>
      <c r="E118" s="27"/>
      <c r="F118" s="56"/>
      <c r="G118" s="190"/>
      <c r="H118" s="40">
        <f>IF($G$117=116,IF('[2]I.st-výs-KO'!$P120="","",'[2]I.st-výs-KO'!$S120),"")</f>
      </c>
    </row>
    <row r="119" spans="1:8" ht="12.75">
      <c r="A119" s="27"/>
      <c r="B119" s="27"/>
      <c r="C119" s="50"/>
      <c r="D119" s="193">
        <v>29</v>
      </c>
      <c r="E119" s="33" t="str">
        <f>IF(OR($B118="",$B120=""),IF($B118="",IF($B120="","",'[2]I.st-výs-KO'!$F30),'[2]I.st-výs-KO'!$C30),'[2]I.st-výs-KO'!$Q30)</f>
        <v>Hýbl Jan</v>
      </c>
      <c r="F119" s="56"/>
      <c r="G119" s="40"/>
      <c r="H119" s="46"/>
    </row>
    <row r="120" spans="1:8" ht="12.75">
      <c r="A120" s="27">
        <v>58</v>
      </c>
      <c r="B120" s="28">
        <f>IF('[2]copy_I.st_KO_afterdraw'!$C$64="","",'[2]copy_I.st_KO_afterdraw'!$C$64)</f>
      </c>
      <c r="C120" s="36" t="str">
        <f>IF(B120="","bye",CONCATENATE(VLOOKUP(B120,'[2]Rank'!$A$3:$D$300,2),"  (",VLOOKUP(B120,'[2]Rank'!$A$3:$D$300,3),")"))</f>
        <v>bye</v>
      </c>
      <c r="D120" s="194"/>
      <c r="E120" s="37">
        <f>IF($B118="","",IF($B120="","",IF('[2]I.st-výs-KO'!$P30="","",'[2]I.st-výs-KO'!$S30)))</f>
      </c>
      <c r="F120" s="56"/>
      <c r="G120" s="40"/>
      <c r="H120" s="46"/>
    </row>
    <row r="121" spans="1:8" ht="12.75">
      <c r="A121" s="27"/>
      <c r="B121" s="27"/>
      <c r="C121" s="27"/>
      <c r="D121" s="51"/>
      <c r="E121" s="195">
        <f>IF(AND('[2]Turnaj'!$L$10=16,'[2]copy_before_draw_I_st'!$F$1&gt;64),79,IF(AND('[2]Turnaj'!$L$10=8,'[2]copy_before_draw_I_st'!$F$1&gt;64),79,IF(AND('[2]Turnaj'!$L$10=16,'[2]copy_before_draw_I_st'!$F$1&lt;=64),47,IF(AND('[2]Turnaj'!$L$10=8,'[2]copy_before_draw_I_st'!$F$1&lt;=64),47,""))))</f>
        <v>79</v>
      </c>
      <c r="F121" s="47" t="str">
        <f>IF($E$121=47,IF('[2]I.st-výs-KO'!$Q49="","",'[2]I.st-výs-KO'!$Q49),IF($E$121=79,IF('[2]I.st-výs-KO'!$Q81="","",'[2]I.st-výs-KO'!$Q81),""))</f>
        <v>Hýbl Jan</v>
      </c>
      <c r="G121" s="40"/>
      <c r="H121" s="46"/>
    </row>
    <row r="122" spans="1:8" ht="12.75">
      <c r="A122" s="27">
        <v>59</v>
      </c>
      <c r="B122" s="28">
        <f>IF('[2]copy_I.st_KO_afterdraw'!$C$65="","",'[2]copy_I.st_KO_afterdraw'!$C$65)</f>
        <v>85</v>
      </c>
      <c r="C122" s="36" t="str">
        <f>IF(B122="","bye",CONCATENATE(VLOOKUP(B122,'[2]Rank'!$A$3:$D$300,2),"  (",VLOOKUP(B122,'[2]Rank'!$A$3:$D$300,3),")"))</f>
        <v>Rusnák Aleš  (TJ Sokol Ropice)</v>
      </c>
      <c r="D122" s="51"/>
      <c r="E122" s="195"/>
      <c r="F122" s="52" t="str">
        <f>IF($E$121=47,IF('[2]I.st-výs-KO'!$P49="","",'[2]I.st-výs-KO'!$S49),IF($E$121=79,IF('[2]I.st-výs-KO'!$P81="","",'[2]I.st-výs-KO'!$S81),""))</f>
        <v>3:1 (8,7,-8,10)</v>
      </c>
      <c r="G122" s="40"/>
      <c r="H122" s="46"/>
    </row>
    <row r="123" spans="1:8" ht="12.75">
      <c r="A123" s="27"/>
      <c r="B123" s="27"/>
      <c r="C123" s="50"/>
      <c r="D123" s="193">
        <v>30</v>
      </c>
      <c r="E123" s="33" t="str">
        <f>IF(OR($B122="",$B124=""),IF($B122="",IF($B124="","",'[2]I.st-výs-KO'!$F31),'[2]I.st-výs-KO'!$C31),'[2]I.st-výs-KO'!$Q31)</f>
        <v>Rusnák Aleš</v>
      </c>
      <c r="F123" s="57"/>
      <c r="G123" s="40"/>
      <c r="H123" s="46"/>
    </row>
    <row r="124" spans="1:8" ht="12.75">
      <c r="A124" s="27">
        <v>60</v>
      </c>
      <c r="B124" s="28">
        <f>IF('[2]copy_I.st_KO_afterdraw'!$C$66="","",'[2]copy_I.st_KO_afterdraw'!$C$66)</f>
        <v>192</v>
      </c>
      <c r="C124" s="29" t="str">
        <f>IF(B124="","bye",CONCATENATE(VLOOKUP(B124,'[2]Rank'!$A$3:$D$300,2),"  (",VLOOKUP(B124,'[2]Rank'!$A$3:$D$300,3),")"))</f>
        <v>Dočekal Petr  (Sokol Brno I)</v>
      </c>
      <c r="D124" s="194"/>
      <c r="E124" s="43" t="str">
        <f>IF($B122="","",IF($B124="","",IF('[2]I.st-výs-KO'!$P31="","",'[2]I.st-výs-KO'!$S31)))</f>
        <v>3:0 (12,4,2)</v>
      </c>
      <c r="F124" s="56"/>
      <c r="G124" s="40"/>
      <c r="H124" s="46"/>
    </row>
    <row r="125" spans="1:8" ht="12.75">
      <c r="A125" s="27"/>
      <c r="B125" s="27"/>
      <c r="C125" s="27"/>
      <c r="D125" s="51"/>
      <c r="E125" s="27"/>
      <c r="F125" s="190">
        <f>IF(AND('[2]Turnaj'!$L$10=16,'[2]copy_before_draw_I_st'!$F$1&gt;64),104,IF(AND('[2]Turnaj'!$L$10=8,'[2]copy_before_draw_I_st'!$F$1&gt;64),104,IF(AND('[2]Turnaj'!$L$10=8,'[2]copy_before_draw_I_st'!$F$1&lt;=64),56,"")))</f>
        <v>104</v>
      </c>
      <c r="G125" s="40" t="str">
        <f>IF($F$125=56,IF('[2]I.st-výs-KO'!$Q59="","",'[2]I.st-výs-KO'!$Q59),IF($F$125=104,IF('[2]I.st-výs-KO'!$Q107="","",'[2]I.st-výs-KO'!$Q107),""))</f>
        <v>Krejcar Vilém</v>
      </c>
      <c r="H125" s="46"/>
    </row>
    <row r="126" spans="1:8" ht="12.75">
      <c r="A126" s="27">
        <v>61</v>
      </c>
      <c r="B126" s="28">
        <f>IF('[2]copy_I.st_KO_afterdraw'!$C$67="","",'[2]copy_I.st_KO_afterdraw'!$C$67)</f>
        <v>182</v>
      </c>
      <c r="C126" s="29" t="str">
        <f>IF(B126="","bye",CONCATENATE(VLOOKUP(B126,'[2]Rank'!$A$3:$D$300,2),"  (",VLOOKUP(B126,'[2]Rank'!$A$3:$D$300,3),")"))</f>
        <v>Dobej Michal  (STC Slaný)</v>
      </c>
      <c r="D126" s="51"/>
      <c r="E126" s="27"/>
      <c r="F126" s="190"/>
      <c r="G126" s="40" t="str">
        <f>IF($F$125=56,IF('[2]I.st-výs-KO'!$P59="","",'[2]I.st-výs-KO'!$S59),IF($F$125=104,IF('[2]I.st-výs-KO'!$P107="","",'[2]I.st-výs-KO'!$S107),""))</f>
        <v>3:1 (6,10,-10,9)</v>
      </c>
      <c r="H126" s="46"/>
    </row>
    <row r="127" spans="1:8" ht="12.75">
      <c r="A127" s="27"/>
      <c r="B127" s="27"/>
      <c r="C127" s="50"/>
      <c r="D127" s="193">
        <v>31</v>
      </c>
      <c r="E127" s="33" t="str">
        <f>IF(OR($B126="",$B128=""),IF($B126="",IF($B128="","",'[2]I.st-výs-KO'!$F32),'[2]I.st-výs-KO'!$C32),'[2]I.st-výs-KO'!$Q32)</f>
        <v>Branný Tomáš</v>
      </c>
      <c r="F127" s="56"/>
      <c r="G127" s="40"/>
      <c r="H127" s="46"/>
    </row>
    <row r="128" spans="1:8" ht="12.75">
      <c r="A128" s="27">
        <v>62</v>
      </c>
      <c r="B128" s="28">
        <f>IF('[2]copy_I.st_KO_afterdraw'!$C$68="","",'[2]copy_I.st_KO_afterdraw'!$C$68)</f>
        <v>129</v>
      </c>
      <c r="C128" s="36" t="str">
        <f>IF(B128="","bye",CONCATENATE(VLOOKUP(B128,'[2]Rank'!$A$3:$D$300,2),"  (",VLOOKUP(B128,'[2]Rank'!$A$3:$D$300,3),")"))</f>
        <v>Branný Tomáš  (SKST Baník Havířov)</v>
      </c>
      <c r="D128" s="194"/>
      <c r="E128" s="37" t="str">
        <f>IF($B126="","",IF($B128="","",IF('[2]I.st-výs-KO'!$P32="","",'[2]I.st-výs-KO'!$S32)))</f>
        <v>3:0 (5,8,8)</v>
      </c>
      <c r="F128" s="56"/>
      <c r="G128" s="40"/>
      <c r="H128" s="46"/>
    </row>
    <row r="129" spans="1:8" ht="12.75">
      <c r="A129" s="27"/>
      <c r="B129" s="27"/>
      <c r="C129" s="27"/>
      <c r="D129" s="51"/>
      <c r="E129" s="195">
        <f>IF(AND('[2]Turnaj'!$L$10=16,'[2]copy_before_draw_I_st'!$F$1&gt;64),80,IF(AND('[2]Turnaj'!$L$10=8,'[2]copy_before_draw_I_st'!$F$1&gt;64),80,IF(AND('[2]Turnaj'!$L$10=16,'[2]copy_before_draw_I_st'!$F$1&lt;=64),48,IF(AND('[2]Turnaj'!$L$10=8,'[2]copy_before_draw_I_st'!$F$1&lt;=64),48,""))))</f>
        <v>80</v>
      </c>
      <c r="F129" s="58" t="str">
        <f>IF($E$129=48,IF('[2]I.st-výs-KO'!$Q50="","",'[2]I.st-výs-KO'!$Q50),IF($E$129=80,IF('[2]I.st-výs-KO'!$Q82="","",'[2]I.st-výs-KO'!$Q82),""))</f>
        <v>Krejcar Vilém</v>
      </c>
      <c r="G129" s="40"/>
      <c r="H129" s="46"/>
    </row>
    <row r="130" spans="1:8" ht="12.75">
      <c r="A130" s="27">
        <v>63</v>
      </c>
      <c r="B130" s="28">
        <f>IF('[2]copy_I.st_KO_afterdraw'!$C$69="","",'[2]copy_I.st_KO_afterdraw'!$C$69)</f>
      </c>
      <c r="C130" s="36" t="str">
        <f>IF(B130="","bye",CONCATENATE(VLOOKUP(B130,'[2]Rank'!$A$3:$D$300,2),"  (",VLOOKUP(B130,'[2]Rank'!$A$3:$D$300,3),")"))</f>
        <v>bye</v>
      </c>
      <c r="D130" s="51"/>
      <c r="E130" s="195"/>
      <c r="F130" s="52" t="str">
        <f>IF($E$129=48,IF('[2]I.st-výs-KO'!$P50="","",'[2]I.st-výs-KO'!$S50),IF($E$129=80,IF('[2]I.st-výs-KO'!$P82="","",'[2]I.st-výs-KO'!$S82),""))</f>
        <v>3:1 (3,4,-8,4)</v>
      </c>
      <c r="G130" s="40"/>
      <c r="H130" s="46"/>
    </row>
    <row r="131" spans="1:8" ht="12.75">
      <c r="A131" s="27"/>
      <c r="B131" s="27"/>
      <c r="C131" s="50"/>
      <c r="D131" s="193">
        <v>32</v>
      </c>
      <c r="E131" s="33" t="str">
        <f>IF(OR($B130="",$B132=""),IF($B130="",IF($B132="","",'[2]I.st-výs-KO'!$F33),'[2]I.st-výs-KO'!$C33),'[2]I.st-výs-KO'!$Q33)</f>
        <v>Krejcar Vilém</v>
      </c>
      <c r="F131" s="57"/>
      <c r="G131" s="40"/>
      <c r="H131" s="46"/>
    </row>
    <row r="132" spans="1:8" ht="12.75">
      <c r="A132" s="27">
        <v>64</v>
      </c>
      <c r="B132" s="28">
        <f>IF('[2]copy_I.st_KO_afterdraw'!$C$70="","",'[2]copy_I.st_KO_afterdraw'!$C$70)</f>
        <v>25</v>
      </c>
      <c r="C132" s="29" t="str">
        <f>IF(B132="","bye",CONCATENATE(VLOOKUP(B132,'[2]Rank'!$A$3:$D$300,2),"  (",VLOOKUP(B132,'[2]Rank'!$A$3:$D$300,3),")"))</f>
        <v>Krejcar Vilém  (SK DDM Kotlářka Praha)</v>
      </c>
      <c r="D132" s="194"/>
      <c r="E132" s="43">
        <f>IF($B130="","",IF($B132="","",IF('[2]I.st-výs-KO'!$P33="","",'[2]I.st-výs-KO'!$S33)))</f>
      </c>
      <c r="F132" s="56"/>
      <c r="G132" s="40"/>
      <c r="H132" s="46"/>
    </row>
    <row r="133" spans="1:8" ht="25.5">
      <c r="A133" s="191" t="str">
        <f>IF($A$136=65,$A$1,"")</f>
        <v>Bodovací turnaj mládeže ČAST</v>
      </c>
      <c r="B133" s="191"/>
      <c r="C133" s="191"/>
      <c r="D133" s="191"/>
      <c r="E133" s="191"/>
      <c r="F133" s="191"/>
      <c r="G133" s="191"/>
      <c r="H133" s="191"/>
    </row>
    <row r="134" spans="1:8" ht="18.75">
      <c r="A134" s="192" t="str">
        <f>IF($A$136=65,CONCATENATE("Dvouhra"," ",'[2]Turnaj'!$F$6," - ","I. stupeň"),"")</f>
        <v>Dvouhra dorostenci - I. stupeň</v>
      </c>
      <c r="B134" s="192"/>
      <c r="C134" s="192"/>
      <c r="D134" s="192"/>
      <c r="E134" s="192"/>
      <c r="F134" s="192"/>
      <c r="G134" s="192"/>
      <c r="H134" s="192"/>
    </row>
    <row r="135" spans="3:8" ht="15.75">
      <c r="C135" s="22"/>
      <c r="D135" s="24"/>
      <c r="F135" s="61"/>
      <c r="H135" s="61" t="str">
        <f>IF($A$136=65,$G$3,"")</f>
        <v>Hustopeče  21.11.2015</v>
      </c>
    </row>
    <row r="136" spans="1:8" ht="15.75">
      <c r="A136" s="27">
        <f>IF('[2]copy_before_draw_I_st'!$F$1&gt;64,65,"")</f>
        <v>65</v>
      </c>
      <c r="B136" s="66">
        <f>IF('[2]copy_I.st_KO_afterdraw'!$C$71="","",'[2]copy_I.st_KO_afterdraw'!$C$71)</f>
        <v>24</v>
      </c>
      <c r="C136" s="38" t="str">
        <f>IF($A$136=65,IF(B136="","bye",CONCATENATE(VLOOKUP(B136,'[2]Rank'!$A$3:$D$300,2),"  (",VLOOKUP(B136,'[2]Rank'!$A$3:$D$300,3),")")),"")</f>
        <v>Koubek Vojtěch  (TJ Sokol PP Hradec Králové 2)</v>
      </c>
      <c r="E136" s="22"/>
      <c r="F136" s="34"/>
      <c r="H136" s="31" t="str">
        <f>IF($A$136=65,"Stránka 3","")</f>
        <v>Stránka 3</v>
      </c>
    </row>
    <row r="137" spans="1:6" ht="12.75">
      <c r="A137" s="27"/>
      <c r="B137" s="66"/>
      <c r="C137" s="27"/>
      <c r="D137" s="188">
        <f>IF('[2]copy_before_draw_I_st'!$F$1&gt;64,33,"")</f>
        <v>33</v>
      </c>
      <c r="E137" s="54" t="str">
        <f>IF(OR($B136="",$B138=""),IF($B136="",IF($B138="","",'[2]I.st-výs-KO'!$F34),'[2]I.st-výs-KO'!$C34),'[2]I.st-výs-KO'!$Q34)</f>
        <v>Koubek Vojtěch</v>
      </c>
      <c r="F137" s="34"/>
    </row>
    <row r="138" spans="1:6" ht="12.75">
      <c r="A138" s="27">
        <f>IF('[2]copy_before_draw_I_st'!$F$1&gt;64,66,"")</f>
        <v>66</v>
      </c>
      <c r="B138" s="66">
        <f>IF('[2]copy_I.st_KO_afterdraw'!$C$72="","",'[2]copy_I.st_KO_afterdraw'!$C$72)</f>
      </c>
      <c r="C138" s="27" t="str">
        <f>IF($A$136=65,IF(B138="","bye",CONCATENATE(VLOOKUP(B138,'[2]Rank'!$A$3:$D$300,2),"  (",VLOOKUP(B138,'[2]Rank'!$A$3:$D$300,3),")")),"")</f>
        <v>bye</v>
      </c>
      <c r="D138" s="188"/>
      <c r="E138" s="54">
        <f>IF($B136="","",IF($B138="","",IF('[2]I.st-výs-KO'!$P34="","",'[2]I.st-výs-KO'!$S34)))</f>
      </c>
      <c r="F138" s="34"/>
    </row>
    <row r="139" spans="1:6" ht="12.75">
      <c r="A139" s="27"/>
      <c r="B139" s="66"/>
      <c r="C139" s="27"/>
      <c r="D139" s="49"/>
      <c r="E139" s="189">
        <f>IF('[2]copy_before_draw_I_st'!$F$1&gt;64,81,"")</f>
        <v>81</v>
      </c>
      <c r="F139" s="40" t="str">
        <f>IF($E$139=81,IF('[2]I.st-výs-KO'!$Q83="","",'[2]I.st-výs-KO'!$Q83),"")</f>
        <v>Koubek Vojtěch</v>
      </c>
    </row>
    <row r="140" spans="1:7" ht="12.75">
      <c r="A140" s="27">
        <f>IF('[2]copy_before_draw_I_st'!$F$1&gt;64,67,"")</f>
        <v>67</v>
      </c>
      <c r="B140" s="66">
        <f>IF('[2]copy_I.st_KO_afterdraw'!$C$73="","",'[2]copy_I.st_KO_afterdraw'!$C$73)</f>
        <v>64</v>
      </c>
      <c r="C140" s="27" t="str">
        <f>IF($A$136=65,IF(B140="","bye",CONCATENATE(VLOOKUP(B140,'[2]Rank'!$A$3:$D$300,2),"  (",VLOOKUP(B140,'[2]Rank'!$A$3:$D$300,3),")")),"")</f>
        <v>Kubát Petr  (SK DDM Kotlářka Praha)</v>
      </c>
      <c r="D140" s="49"/>
      <c r="E140" s="189"/>
      <c r="F140" s="40" t="str">
        <f>IF($E$139=81,IF('[2]I.st-výs-KO'!$P83="","",'[2]I.st-výs-KO'!$S83),"")</f>
        <v>3:2 (-9,6,-8,4,7)</v>
      </c>
      <c r="G140" s="67"/>
    </row>
    <row r="141" spans="1:7" ht="12.75">
      <c r="A141" s="27"/>
      <c r="B141" s="66"/>
      <c r="C141" s="27"/>
      <c r="D141" s="188">
        <f>IF('[2]copy_before_draw_I_st'!$F$1&gt;64,34,"")</f>
        <v>34</v>
      </c>
      <c r="E141" s="54" t="str">
        <f>IF(OR($B140="",$B142=""),IF($B140="",IF($B142="","",'[2]I.st-výs-KO'!$F35),'[2]I.st-výs-KO'!$C35),'[2]I.st-výs-KO'!$Q35)</f>
        <v>Kubát Petr</v>
      </c>
      <c r="F141" s="40"/>
      <c r="G141" s="67"/>
    </row>
    <row r="142" spans="1:7" ht="12.75">
      <c r="A142" s="27">
        <f>IF('[2]copy_before_draw_I_st'!$F$1&gt;64,68,"")</f>
        <v>68</v>
      </c>
      <c r="B142" s="66">
        <f>IF('[2]copy_I.st_KO_afterdraw'!$C$74="","",'[2]copy_I.st_KO_afterdraw'!$C$74)</f>
        <v>193</v>
      </c>
      <c r="C142" s="38" t="str">
        <f>IF($A$136=65,IF(B142="","bye",CONCATENATE(VLOOKUP(B142,'[2]Rank'!$A$3:$D$300,2),"  (",VLOOKUP(B142,'[2]Rank'!$A$3:$D$300,3),")")),"")</f>
        <v>Himal Tomáš  (TJ Jevišovka)</v>
      </c>
      <c r="D142" s="188"/>
      <c r="E142" s="54" t="str">
        <f>IF($B140="","",IF($B142="","",IF('[2]I.st-výs-KO'!$P35="","",'[2]I.st-výs-KO'!$S35)))</f>
        <v>3:2 (7,9,-10,-9,9)</v>
      </c>
      <c r="F142" s="40"/>
      <c r="G142" s="67"/>
    </row>
    <row r="143" spans="1:7" ht="12.75">
      <c r="A143" s="27"/>
      <c r="B143" s="66"/>
      <c r="C143" s="27"/>
      <c r="D143" s="49"/>
      <c r="E143" s="44"/>
      <c r="F143" s="190">
        <f>IF(AND('[2]Turnaj'!$L$10=16,'[2]copy_before_draw_I_st'!$F$1&gt;64),105,IF(AND('[2]Turnaj'!$L$10=8,'[2]copy_before_draw_I_st'!$F$1&gt;64),105,""))</f>
        <v>105</v>
      </c>
      <c r="G143" s="67" t="str">
        <f>IF($F$143=105,IF('[2]I.st-výs-KO'!$Q108="","",'[2]I.st-výs-KO'!$Q108),"")</f>
        <v>Černota Filip</v>
      </c>
    </row>
    <row r="144" spans="1:8" ht="12.75">
      <c r="A144" s="27">
        <f>IF('[2]copy_before_draw_I_st'!$F$1&gt;64,69,"")</f>
        <v>69</v>
      </c>
      <c r="B144" s="66">
        <f>IF('[2]copy_I.st_KO_afterdraw'!$C$75="","",'[2]copy_I.st_KO_afterdraw'!$C$75)</f>
        <v>142</v>
      </c>
      <c r="C144" s="38" t="str">
        <f>IF($A$136=65,IF(B144="","bye",CONCATENATE(VLOOKUP(B144,'[2]Rank'!$A$3:$D$300,2),"  (",VLOOKUP(B144,'[2]Rank'!$A$3:$D$300,3),")")),"")</f>
        <v>Daníček Adam  (TTC Elizza Praha)</v>
      </c>
      <c r="D144" s="49"/>
      <c r="E144" s="44"/>
      <c r="F144" s="190"/>
      <c r="G144" s="67" t="str">
        <f>IF($F$143=105,IF('[2]I.st-výs-KO'!$P108="","",'[2]I.st-výs-KO'!$S108),"")</f>
        <v>3:2 (10,-6,-13,8,6)</v>
      </c>
      <c r="H144" s="68"/>
    </row>
    <row r="145" spans="1:8" ht="12.75">
      <c r="A145" s="27"/>
      <c r="B145" s="66"/>
      <c r="C145" s="27"/>
      <c r="D145" s="188">
        <f>IF('[2]copy_before_draw_I_st'!$F$1&gt;64,35,"")</f>
        <v>35</v>
      </c>
      <c r="E145" s="54" t="str">
        <f>IF(OR($B144="",$B146=""),IF($B144="",IF($B146="","",'[2]I.st-výs-KO'!$F36),'[2]I.st-výs-KO'!$C36),'[2]I.st-výs-KO'!$Q36)</f>
        <v>Nedbálek Michal</v>
      </c>
      <c r="F145" s="40"/>
      <c r="G145" s="67"/>
      <c r="H145" s="68"/>
    </row>
    <row r="146" spans="1:8" ht="12.75">
      <c r="A146" s="27">
        <f>IF('[2]copy_before_draw_I_st'!$F$1&gt;64,70,"")</f>
        <v>70</v>
      </c>
      <c r="B146" s="66">
        <f>IF('[2]copy_I.st_KO_afterdraw'!$C$76="","",'[2]copy_I.st_KO_afterdraw'!$C$76)</f>
        <v>63</v>
      </c>
      <c r="C146" s="27" t="str">
        <f>IF($A$136=65,IF(B146="","bye",CONCATENATE(VLOOKUP(B146,'[2]Rank'!$A$3:$D$300,2),"  (",VLOOKUP(B146,'[2]Rank'!$A$3:$D$300,3),")")),"")</f>
        <v>Nedbálek Michal  (KST Zlín)</v>
      </c>
      <c r="D146" s="188"/>
      <c r="E146" s="54" t="str">
        <f>IF($B144="","",IF($B146="","",IF('[2]I.st-výs-KO'!$P36="","",'[2]I.st-výs-KO'!$S36)))</f>
        <v>3:0 (5,6,9)</v>
      </c>
      <c r="F146" s="40"/>
      <c r="G146" s="67"/>
      <c r="H146" s="68"/>
    </row>
    <row r="147" spans="1:8" ht="12.75">
      <c r="A147" s="27"/>
      <c r="B147" s="66"/>
      <c r="C147" s="27"/>
      <c r="D147" s="49"/>
      <c r="E147" s="189">
        <f>IF('[2]copy_before_draw_I_st'!$F$1&gt;64,82,"")</f>
        <v>82</v>
      </c>
      <c r="F147" s="40" t="str">
        <f>IF($E$147=82,IF('[2]I.st-výs-KO'!$Q84="","",'[2]I.st-výs-KO'!$Q84),"")</f>
        <v>Černota Filip</v>
      </c>
      <c r="G147" s="67"/>
      <c r="H147" s="68"/>
    </row>
    <row r="148" spans="1:8" ht="12.75">
      <c r="A148" s="27">
        <f>IF('[2]copy_before_draw_I_st'!$F$1&gt;64,71,"")</f>
        <v>71</v>
      </c>
      <c r="B148" s="66">
        <f>IF('[2]copy_I.st_KO_afterdraw'!$C$77="","",'[2]copy_I.st_KO_afterdraw'!$C$77)</f>
      </c>
      <c r="C148" s="27" t="str">
        <f>IF($A$136=65,IF(B148="","bye",CONCATENATE(VLOOKUP(B148,'[2]Rank'!$A$3:$D$300,2),"  (",VLOOKUP(B148,'[2]Rank'!$A$3:$D$300,3),")")),"")</f>
        <v>bye</v>
      </c>
      <c r="D148" s="49"/>
      <c r="E148" s="189"/>
      <c r="F148" s="40" t="str">
        <f>IF($E$147=82,IF('[2]I.st-výs-KO'!$P84="","",'[2]I.st-výs-KO'!$S84),"")</f>
        <v>3:1 (8,2,-9,4)</v>
      </c>
      <c r="G148" s="67"/>
      <c r="H148" s="68"/>
    </row>
    <row r="149" spans="1:8" ht="12.75">
      <c r="A149" s="27"/>
      <c r="B149" s="66"/>
      <c r="C149" s="27"/>
      <c r="D149" s="188">
        <f>IF('[2]copy_before_draw_I_st'!$F$1&gt;64,36,"")</f>
        <v>36</v>
      </c>
      <c r="E149" s="54" t="str">
        <f>IF(OR($B148="",$B150=""),IF($B148="",IF($B150="","",'[2]I.st-výs-KO'!$F37),'[2]I.st-výs-KO'!$C37),'[2]I.st-výs-KO'!$Q37)</f>
        <v>Černota Filip</v>
      </c>
      <c r="F149" s="46"/>
      <c r="G149" s="67"/>
      <c r="H149" s="68"/>
    </row>
    <row r="150" spans="1:8" ht="12.75">
      <c r="A150" s="27">
        <f>IF('[2]copy_before_draw_I_st'!$F$1&gt;64,72,"")</f>
        <v>72</v>
      </c>
      <c r="B150" s="66">
        <f>IF('[2]copy_I.st_KO_afterdraw'!$C$78="","",'[2]copy_I.st_KO_afterdraw'!$C$78)</f>
        <v>40</v>
      </c>
      <c r="C150" s="38" t="str">
        <f>IF($A$136=65,IF(B150="","bye",CONCATENATE(VLOOKUP(B150,'[2]Rank'!$A$3:$D$300,2),"  (",VLOOKUP(B150,'[2]Rank'!$A$3:$D$300,3),")")),"")</f>
        <v>Černota Filip  (AC Sparta Praha)</v>
      </c>
      <c r="D150" s="188"/>
      <c r="E150" s="54">
        <f>IF($B148="","",IF($B150="","",IF('[2]I.st-výs-KO'!$P37="","",'[2]I.st-výs-KO'!$S37)))</f>
      </c>
      <c r="F150" s="40"/>
      <c r="G150" s="67"/>
      <c r="H150" s="68"/>
    </row>
    <row r="151" spans="1:8" ht="12.75">
      <c r="A151" s="27"/>
      <c r="B151" s="66"/>
      <c r="C151" s="27"/>
      <c r="D151" s="49"/>
      <c r="E151" s="68"/>
      <c r="F151" s="40"/>
      <c r="G151" s="190">
        <f>IF(AND('[2]Turnaj'!$L$10=8,'[2]copy_before_draw_I_st'!$F$1&gt;64),117,"")</f>
      </c>
      <c r="H151" s="67">
        <f>IF($G$151=117,IF('[2]I.st-výs-KO'!$Q121="","",'[2]I.st-výs-KO'!$Q121),"")</f>
      </c>
    </row>
    <row r="152" spans="1:8" ht="12.75">
      <c r="A152" s="27">
        <f>IF('[2]copy_before_draw_I_st'!$F$1&gt;64,73,"")</f>
        <v>73</v>
      </c>
      <c r="B152" s="66">
        <f>IF('[2]copy_I.st_KO_afterdraw'!$C$79="","",'[2]copy_I.st_KO_afterdraw'!$C$79)</f>
        <v>49</v>
      </c>
      <c r="C152" s="38" t="str">
        <f>IF($A$136=65,IF(B152="","bye",CONCATENATE(VLOOKUP(B152,'[2]Rank'!$A$3:$D$300,2),"  (",VLOOKUP(B152,'[2]Rank'!$A$3:$D$300,3),")")),"")</f>
        <v>Vitásek Adam  (KST Slezan Opava)</v>
      </c>
      <c r="D152" s="49"/>
      <c r="E152" s="44"/>
      <c r="F152" s="46"/>
      <c r="G152" s="190"/>
      <c r="H152" s="67">
        <f>IF($G$151=117,IF('[2]I.st-výs-KO'!$P121="","",'[2]I.st-výs-KO'!$S121),"")</f>
      </c>
    </row>
    <row r="153" spans="1:8" ht="12.75">
      <c r="A153" s="27"/>
      <c r="B153" s="66"/>
      <c r="C153" s="27"/>
      <c r="D153" s="188">
        <f>IF('[2]copy_before_draw_I_st'!$F$1&gt;64,37,"")</f>
        <v>37</v>
      </c>
      <c r="E153" s="54" t="str">
        <f>IF(OR($B152="",$B154=""),IF($B152="",IF($B154="","",'[2]I.st-výs-KO'!$F38),'[2]I.st-výs-KO'!$C38),'[2]I.st-výs-KO'!$Q38)</f>
        <v>Vitásek Adam</v>
      </c>
      <c r="F153" s="38"/>
      <c r="G153" s="67"/>
      <c r="H153" s="68"/>
    </row>
    <row r="154" spans="1:8" ht="12.75">
      <c r="A154" s="27">
        <f>IF('[2]copy_before_draw_I_st'!$F$1&gt;64,74,"")</f>
        <v>74</v>
      </c>
      <c r="B154" s="66">
        <f>IF('[2]copy_I.st_KO_afterdraw'!$C$80="","",'[2]copy_I.st_KO_afterdraw'!$C$80)</f>
      </c>
      <c r="C154" s="27" t="str">
        <f>IF($A$136=65,IF(B154="","bye",CONCATENATE(VLOOKUP(B154,'[2]Rank'!$A$3:$D$300,2),"  (",VLOOKUP(B154,'[2]Rank'!$A$3:$D$300,3),")")),"")</f>
        <v>bye</v>
      </c>
      <c r="D154" s="188"/>
      <c r="E154" s="54">
        <f>IF($B152="","",IF($B154="","",IF('[2]I.st-výs-KO'!$P38="","",'[2]I.st-výs-KO'!$S38)))</f>
      </c>
      <c r="F154" s="38"/>
      <c r="G154" s="67"/>
      <c r="H154" s="68"/>
    </row>
    <row r="155" spans="1:8" ht="12.75">
      <c r="A155" s="27"/>
      <c r="B155" s="66"/>
      <c r="C155" s="27"/>
      <c r="D155" s="51"/>
      <c r="E155" s="189">
        <f>IF('[2]copy_before_draw_I_st'!$F$1&gt;64,83,"")</f>
        <v>83</v>
      </c>
      <c r="F155" s="40" t="str">
        <f>IF($E$155=83,IF('[2]I.st-výs-KO'!$Q85="","",'[2]I.st-výs-KO'!$Q85),"")</f>
        <v>Vitásek Adam</v>
      </c>
      <c r="G155" s="67"/>
      <c r="H155" s="68"/>
    </row>
    <row r="156" spans="1:8" ht="12.75">
      <c r="A156" s="27">
        <f>IF('[2]copy_before_draw_I_st'!$F$1&gt;64,75,"")</f>
        <v>75</v>
      </c>
      <c r="B156" s="66">
        <f>IF('[2]copy_I.st_KO_afterdraw'!$C$81="","",'[2]copy_I.st_KO_afterdraw'!$C$81)</f>
        <v>83</v>
      </c>
      <c r="C156" s="27" t="str">
        <f>IF($A$136=65,IF(B156="","bye",CONCATENATE(VLOOKUP(B156,'[2]Rank'!$A$3:$D$300,2),"  (",VLOOKUP(B156,'[2]Rank'!$A$3:$D$300,3),")")),"")</f>
        <v>Mynář Vojtěch  (TJ Lanškroun)</v>
      </c>
      <c r="D156" s="51"/>
      <c r="E156" s="189"/>
      <c r="F156" s="40" t="str">
        <f>IF($E$155=83,IF('[2]I.st-výs-KO'!$P85="","",'[2]I.st-výs-KO'!$S85),"")</f>
        <v>3:2 (-9,7,-11,6,8)</v>
      </c>
      <c r="G156" s="67"/>
      <c r="H156" s="68"/>
    </row>
    <row r="157" spans="1:8" ht="12.75">
      <c r="A157" s="27"/>
      <c r="B157" s="66"/>
      <c r="C157" s="27"/>
      <c r="D157" s="188">
        <f>IF('[2]copy_before_draw_I_st'!$F$1&gt;64,38,"")</f>
        <v>38</v>
      </c>
      <c r="E157" s="54" t="str">
        <f>IF(OR($B156="",$B158=""),IF($B156="",IF($B158="","",'[2]I.st-výs-KO'!$F39),'[2]I.st-výs-KO'!$C39),'[2]I.st-výs-KO'!$Q39)</f>
        <v>Mynář Vojtěch</v>
      </c>
      <c r="F157" s="38"/>
      <c r="G157" s="67"/>
      <c r="H157" s="68"/>
    </row>
    <row r="158" spans="1:8" ht="12.75">
      <c r="A158" s="27">
        <f>IF('[2]copy_before_draw_I_st'!$F$1&gt;64,76,"")</f>
        <v>76</v>
      </c>
      <c r="B158" s="66">
        <f>IF('[2]copy_I.st_KO_afterdraw'!$C$82="","",'[2]copy_I.st_KO_afterdraw'!$C$82)</f>
        <v>95</v>
      </c>
      <c r="C158" s="38" t="str">
        <f>IF($A$136=65,IF(B158="","bye",CONCATENATE(VLOOKUP(B158,'[2]Rank'!$A$3:$D$300,2),"  (",VLOOKUP(B158,'[2]Rank'!$A$3:$D$300,3),")")),"")</f>
        <v>Harenčák Jakub  (KST ZŠ Vyšší Brod)</v>
      </c>
      <c r="D158" s="188"/>
      <c r="E158" s="54" t="str">
        <f>IF($B156="","",IF($B158="","",IF('[2]I.st-výs-KO'!$P39="","",'[2]I.st-výs-KO'!$S39)))</f>
        <v>3:2 (-10,-10,7,8,5)</v>
      </c>
      <c r="F158" s="38"/>
      <c r="G158" s="67"/>
      <c r="H158" s="68"/>
    </row>
    <row r="159" spans="1:8" ht="12.75">
      <c r="A159" s="27"/>
      <c r="B159" s="66"/>
      <c r="C159" s="27"/>
      <c r="D159" s="51"/>
      <c r="E159" s="54"/>
      <c r="F159" s="190">
        <f>IF(AND('[2]Turnaj'!$L$10=16,'[2]copy_before_draw_I_st'!$F$1&gt;64),106,IF(AND('[2]Turnaj'!$L$10=8,'[2]copy_before_draw_I_st'!$F$1&gt;64),106,""))</f>
        <v>106</v>
      </c>
      <c r="G159" s="67" t="str">
        <f>IF($F$159=106,IF('[2]I.st-výs-KO'!$Q109="","",'[2]I.st-výs-KO'!$Q109),"")</f>
        <v>Kotek Dominik</v>
      </c>
      <c r="H159" s="68"/>
    </row>
    <row r="160" spans="1:8" ht="12.75">
      <c r="A160" s="27">
        <f>IF('[2]copy_before_draw_I_st'!$F$1&gt;64,77,"")</f>
        <v>77</v>
      </c>
      <c r="B160" s="66">
        <f>IF('[2]copy_I.st_KO_afterdraw'!$C$83="","",'[2]copy_I.st_KO_afterdraw'!$C$83)</f>
        <v>183</v>
      </c>
      <c r="C160" s="38" t="str">
        <f>IF($A$136=65,IF(B160="","bye",CONCATENATE(VLOOKUP(B160,'[2]Rank'!$A$3:$D$300,2),"  (",VLOOKUP(B160,'[2]Rank'!$A$3:$D$300,3),")")),"")</f>
        <v>Macurák Michal  (SKST Baník Havířov)</v>
      </c>
      <c r="D160" s="49"/>
      <c r="E160" s="27"/>
      <c r="F160" s="190"/>
      <c r="G160" s="67" t="str">
        <f>IF($F$159=106,IF('[2]I.st-výs-KO'!$P109="","",'[2]I.st-výs-KO'!$S109),"")</f>
        <v>3:1 (7,9,-8,5)</v>
      </c>
      <c r="H160" s="68"/>
    </row>
    <row r="161" spans="1:8" ht="12.75">
      <c r="A161" s="27"/>
      <c r="B161" s="66"/>
      <c r="C161" s="68"/>
      <c r="D161" s="188">
        <f>IF('[2]copy_before_draw_I_st'!$F$1&gt;64,39,"")</f>
        <v>39</v>
      </c>
      <c r="E161" s="54" t="str">
        <f>IF(OR($B160="",$B162=""),IF($B160="",IF($B162="","",'[2]I.st-výs-KO'!$F40),'[2]I.st-výs-KO'!$C40),'[2]I.st-výs-KO'!$Q40)</f>
        <v>Pařízek Martin</v>
      </c>
      <c r="F161" s="56"/>
      <c r="G161" s="67"/>
      <c r="H161" s="68"/>
    </row>
    <row r="162" spans="1:8" ht="12.75">
      <c r="A162" s="27">
        <f>IF('[2]copy_before_draw_I_st'!$F$1&gt;64,78,"")</f>
        <v>78</v>
      </c>
      <c r="B162" s="66">
        <f>IF('[2]copy_I.st_KO_afterdraw'!$C$84="","",'[2]copy_I.st_KO_afterdraw'!$C$84)</f>
        <v>77</v>
      </c>
      <c r="C162" s="27" t="str">
        <f>IF($A$136=65,IF(B162="","bye",CONCATENATE(VLOOKUP(B162,'[2]Rank'!$A$3:$D$300,2),"  (",VLOOKUP(B162,'[2]Rank'!$A$3:$D$300,3),")")),"")</f>
        <v>Pařízek Martin  (SKST Liberec)</v>
      </c>
      <c r="D162" s="188"/>
      <c r="E162" s="54" t="str">
        <f>IF($B160="","",IF($B162="","",IF('[2]I.st-výs-KO'!$P40="","",'[2]I.st-výs-KO'!$S40)))</f>
        <v>3:1 (5,-9,9,13)</v>
      </c>
      <c r="F162" s="56"/>
      <c r="G162" s="67"/>
      <c r="H162" s="68"/>
    </row>
    <row r="163" spans="1:8" ht="12.75">
      <c r="A163" s="27"/>
      <c r="B163" s="66"/>
      <c r="C163" s="27"/>
      <c r="D163" s="49"/>
      <c r="E163" s="189">
        <f>IF('[2]copy_before_draw_I_st'!$F$1&gt;64,84,"")</f>
        <v>84</v>
      </c>
      <c r="F163" s="40" t="str">
        <f>IF($E$163=84,IF('[2]I.st-výs-KO'!$Q86="","",'[2]I.st-výs-KO'!$Q86),"")</f>
        <v>Kotek Dominik</v>
      </c>
      <c r="G163" s="67"/>
      <c r="H163" s="68"/>
    </row>
    <row r="164" spans="1:8" ht="12.75">
      <c r="A164" s="27">
        <f>IF('[2]copy_before_draw_I_st'!$F$1&gt;64,79,"")</f>
        <v>79</v>
      </c>
      <c r="B164" s="66">
        <f>IF('[2]copy_I.st_KO_afterdraw'!$C$85="","",'[2]copy_I.st_KO_afterdraw'!$C$85)</f>
      </c>
      <c r="C164" s="27" t="str">
        <f>IF($A$136=65,IF(B164="","bye",CONCATENATE(VLOOKUP(B164,'[2]Rank'!$A$3:$D$300,2),"  (",VLOOKUP(B164,'[2]Rank'!$A$3:$D$300,3),")")),"")</f>
        <v>bye</v>
      </c>
      <c r="D164" s="49"/>
      <c r="E164" s="189"/>
      <c r="F164" s="40" t="str">
        <f>IF($E$163=84,IF('[2]I.st-výs-KO'!$P86="","",'[2]I.st-výs-KO'!$S86),"")</f>
        <v>3:1 (2,-5,9,10)</v>
      </c>
      <c r="G164" s="67"/>
      <c r="H164" s="68"/>
    </row>
    <row r="165" spans="1:8" ht="12.75">
      <c r="A165" s="27"/>
      <c r="B165" s="66"/>
      <c r="C165" s="27"/>
      <c r="D165" s="188">
        <f>IF('[2]copy_before_draw_I_st'!$F$1&gt;64,40,"")</f>
        <v>40</v>
      </c>
      <c r="E165" s="54" t="str">
        <f>IF(OR($B164="",$B166=""),IF($B164="",IF($B166="","",'[2]I.st-výs-KO'!$F41),'[2]I.st-výs-KO'!$C41),'[2]I.st-výs-KO'!$Q41)</f>
        <v>Kotek Dominik</v>
      </c>
      <c r="F165" s="56"/>
      <c r="G165" s="67"/>
      <c r="H165" s="68"/>
    </row>
    <row r="166" spans="1:8" ht="12.75">
      <c r="A166" s="27">
        <f>IF('[2]copy_before_draw_I_st'!$F$1&gt;64,80,"")</f>
        <v>80</v>
      </c>
      <c r="B166" s="66">
        <f>IF('[2]copy_I.st_KO_afterdraw'!$C$86="","",'[2]copy_I.st_KO_afterdraw'!$C$86)</f>
        <v>31</v>
      </c>
      <c r="C166" s="38" t="str">
        <f>IF($A$136=65,IF(B166="","bye",CONCATENATE(VLOOKUP(B166,'[2]Rank'!$A$3:$D$300,2),"  (",VLOOKUP(B166,'[2]Rank'!$A$3:$D$300,3),")")),"")</f>
        <v>Kotek Dominik  (SK Frýdlant nad Ostravicí)</v>
      </c>
      <c r="D166" s="188"/>
      <c r="E166" s="54">
        <f>IF($B164="","",IF($B166="","",IF('[2]I.st-výs-KO'!$P41="","",'[2]I.st-výs-KO'!$S41)))</f>
      </c>
      <c r="F166" s="56"/>
      <c r="G166" s="67"/>
      <c r="H166" s="68"/>
    </row>
    <row r="167" spans="1:8" ht="12.75">
      <c r="A167" s="27"/>
      <c r="B167" s="38"/>
      <c r="C167" s="68"/>
      <c r="D167" s="68"/>
      <c r="E167" s="68"/>
      <c r="F167" s="56"/>
      <c r="G167" s="67"/>
      <c r="H167" s="68"/>
    </row>
    <row r="168" spans="1:8" ht="12.75">
      <c r="A168" s="27">
        <f>IF('[2]copy_before_draw_I_st'!$F$1&gt;64,81,"")</f>
        <v>81</v>
      </c>
      <c r="B168" s="66">
        <f>IF('[2]copy_I.st_KO_afterdraw'!$C$87="","",'[2]copy_I.st_KO_afterdraw'!$C$87)</f>
        <v>32</v>
      </c>
      <c r="C168" s="38" t="str">
        <f>IF($A$136=65,IF(B168="","bye",CONCATENATE(VLOOKUP(B168,'[2]Rank'!$A$3:$D$300,2),"  (",VLOOKUP(B168,'[2]Rank'!$A$3:$D$300,3),")")),"")</f>
        <v>Čamr František  (FK Kolín)</v>
      </c>
      <c r="D168" s="49"/>
      <c r="E168" s="68"/>
      <c r="F168" s="46"/>
      <c r="G168" s="67"/>
      <c r="H168" s="68"/>
    </row>
    <row r="169" spans="1:8" ht="12.75">
      <c r="A169" s="27"/>
      <c r="B169" s="38"/>
      <c r="C169" s="68"/>
      <c r="D169" s="188">
        <f>IF('[2]copy_before_draw_I_st'!$F$1&gt;64,41,"")</f>
        <v>41</v>
      </c>
      <c r="E169" s="54" t="str">
        <f>IF(OR($B168="",$B170=""),IF($B168="",IF($B170="","",'[2]I.st-výs-KO'!$F42),'[2]I.st-výs-KO'!$C42),'[2]I.st-výs-KO'!$Q42)</f>
        <v>Čamr František</v>
      </c>
      <c r="F169" s="46"/>
      <c r="G169" s="67"/>
      <c r="H169" s="68"/>
    </row>
    <row r="170" spans="1:8" ht="12.75">
      <c r="A170" s="27">
        <f>IF('[2]copy_before_draw_I_st'!$F$1&gt;64,82,"")</f>
        <v>82</v>
      </c>
      <c r="B170" s="66">
        <f>IF('[2]copy_I.st_KO_afterdraw'!$C$88="","",'[2]copy_I.st_KO_afterdraw'!$C$88)</f>
      </c>
      <c r="C170" s="27" t="str">
        <f>IF($A$136=65,IF(B170="","bye",CONCATENATE(VLOOKUP(B170,'[2]Rank'!$A$3:$D$300,2),"  (",VLOOKUP(B170,'[2]Rank'!$A$3:$D$300,3),")")),"")</f>
        <v>bye</v>
      </c>
      <c r="D170" s="188"/>
      <c r="E170" s="54">
        <f>IF($B168="","",IF($B170="","",IF('[2]I.st-výs-KO'!$P42="","",'[2]I.st-výs-KO'!$S42)))</f>
      </c>
      <c r="F170" s="56"/>
      <c r="G170" s="67"/>
      <c r="H170" s="68"/>
    </row>
    <row r="171" spans="1:8" ht="12.75">
      <c r="A171" s="27"/>
      <c r="B171" s="38"/>
      <c r="C171" s="68"/>
      <c r="D171" s="68"/>
      <c r="E171" s="189">
        <f>IF('[2]copy_before_draw_I_st'!$F$1&gt;64,85,"")</f>
        <v>85</v>
      </c>
      <c r="F171" s="40" t="str">
        <f>IF($E$171=85,IF('[2]I.st-výs-KO'!$Q87="","",'[2]I.st-výs-KO'!$Q87),"")</f>
        <v>Čamr František</v>
      </c>
      <c r="G171" s="67"/>
      <c r="H171" s="68"/>
    </row>
    <row r="172" spans="1:8" ht="12.75">
      <c r="A172" s="27">
        <f>IF('[2]copy_before_draw_I_st'!$F$1&gt;64,83,"")</f>
        <v>83</v>
      </c>
      <c r="B172" s="66">
        <f>IF('[2]copy_I.st_KO_afterdraw'!$C$89="","",'[2]copy_I.st_KO_afterdraw'!$C$89)</f>
        <v>132</v>
      </c>
      <c r="C172" s="27" t="str">
        <f>IF($A$136=65,IF(B172="","bye",CONCATENATE(VLOOKUP(B172,'[2]Rank'!$A$3:$D$300,2),"  (",VLOOKUP(B172,'[2]Rank'!$A$3:$D$300,3),")")),"")</f>
        <v>Kulveit Jonáš  (TJ Slavoj Praha)</v>
      </c>
      <c r="D172" s="51"/>
      <c r="E172" s="189"/>
      <c r="F172" s="40" t="str">
        <f>IF($E$171=85,IF('[2]I.st-výs-KO'!$P87="","",'[2]I.st-výs-KO'!$S87),"")</f>
        <v>3:1 (-7,9,3,10)</v>
      </c>
      <c r="G172" s="67"/>
      <c r="H172" s="68"/>
    </row>
    <row r="173" spans="1:8" ht="12.75">
      <c r="A173" s="27"/>
      <c r="B173" s="38"/>
      <c r="C173" s="27"/>
      <c r="D173" s="188">
        <f>IF('[2]copy_before_draw_I_st'!$F$1&gt;64,42,"")</f>
        <v>42</v>
      </c>
      <c r="E173" s="54" t="str">
        <f>IF(OR($B172="",$B174=""),IF($B172="",IF($B174="","",'[2]I.st-výs-KO'!$F43),'[2]I.st-výs-KO'!$C43),'[2]I.st-výs-KO'!$Q43)</f>
        <v>Nečas František</v>
      </c>
      <c r="F173" s="56"/>
      <c r="G173" s="67"/>
      <c r="H173" s="68"/>
    </row>
    <row r="174" spans="1:8" ht="12.75">
      <c r="A174" s="27">
        <f>IF('[2]copy_before_draw_I_st'!$F$1&gt;64,84,"")</f>
        <v>84</v>
      </c>
      <c r="B174" s="66">
        <f>IF('[2]copy_I.st_KO_afterdraw'!$C$90="","",'[2]copy_I.st_KO_afterdraw'!$C$90)</f>
        <v>194</v>
      </c>
      <c r="C174" s="38" t="str">
        <f>IF($A$136=65,IF(B174="","bye",CONCATENATE(VLOOKUP(B174,'[2]Rank'!$A$3:$D$300,2),"  (",VLOOKUP(B174,'[2]Rank'!$A$3:$D$300,3),")")),"")</f>
        <v>Nečas František  (TJ Nové Město na Moravě)</v>
      </c>
      <c r="D174" s="188"/>
      <c r="E174" s="54" t="str">
        <f>IF($B172="","",IF($B174="","",IF('[2]I.st-výs-KO'!$P43="","",'[2]I.st-výs-KO'!$S43)))</f>
        <v>3:0 (7,7,4)</v>
      </c>
      <c r="F174" s="56"/>
      <c r="G174" s="67"/>
      <c r="H174" s="68"/>
    </row>
    <row r="175" spans="1:8" ht="12.75">
      <c r="A175" s="27"/>
      <c r="B175" s="38"/>
      <c r="C175" s="27"/>
      <c r="D175" s="51"/>
      <c r="E175" s="27"/>
      <c r="F175" s="190">
        <f>IF(AND('[2]Turnaj'!$L$10=16,'[2]copy_before_draw_I_st'!$F$1&gt;64),107,IF(AND('[2]Turnaj'!$L$10=8,'[2]copy_before_draw_I_st'!$F$1&gt;64),107,""))</f>
        <v>107</v>
      </c>
      <c r="G175" s="67" t="str">
        <f>IF($F$175=107,IF('[2]I.st-výs-KO'!$Q110="","",'[2]I.st-výs-KO'!$Q110),"")</f>
        <v>Čamr František</v>
      </c>
      <c r="H175" s="68"/>
    </row>
    <row r="176" spans="1:8" ht="12.75">
      <c r="A176" s="27">
        <f>IF('[2]copy_before_draw_I_st'!$F$1&gt;64,85,"")</f>
        <v>85</v>
      </c>
      <c r="B176" s="66">
        <f>IF('[2]copy_I.st_KO_afterdraw'!$C$91="","",'[2]copy_I.st_KO_afterdraw'!$C$91)</f>
        <v>86</v>
      </c>
      <c r="C176" s="38" t="str">
        <f>IF($A$136=65,IF(B176="","bye",CONCATENATE(VLOOKUP(B176,'[2]Rank'!$A$3:$D$300,2),"  (",VLOOKUP(B176,'[2]Rank'!$A$3:$D$300,3),")")),"")</f>
        <v>Vybíral Jakub  (TJ Lanškroun)</v>
      </c>
      <c r="D176" s="51"/>
      <c r="E176" s="27"/>
      <c r="F176" s="190"/>
      <c r="G176" s="67" t="str">
        <f>IF($F$175=107,IF('[2]I.st-výs-KO'!$P110="","",'[2]I.st-výs-KO'!$S110),"")</f>
        <v>3:0 (8,7,8)</v>
      </c>
      <c r="H176" s="68"/>
    </row>
    <row r="177" spans="1:8" ht="12.75">
      <c r="A177" s="27"/>
      <c r="B177" s="38"/>
      <c r="C177" s="27"/>
      <c r="D177" s="188">
        <f>IF('[2]copy_before_draw_I_st'!$F$1&gt;64,43,"")</f>
        <v>43</v>
      </c>
      <c r="E177" s="54" t="str">
        <f>IF(OR($B176="",$B178=""),IF($B176="",IF($B178="","",'[2]I.st-výs-KO'!$F44),'[2]I.st-výs-KO'!$C44),'[2]I.st-výs-KO'!$Q44)</f>
        <v>Vybíral Jakub</v>
      </c>
      <c r="F177" s="56"/>
      <c r="G177" s="67"/>
      <c r="H177" s="68"/>
    </row>
    <row r="178" spans="1:8" ht="12.75">
      <c r="A178" s="27">
        <f>IF('[2]copy_before_draw_I_st'!$F$1&gt;64,86,"")</f>
        <v>86</v>
      </c>
      <c r="B178" s="66">
        <f>IF('[2]copy_I.st_KO_afterdraw'!$C$92="","",'[2]copy_I.st_KO_afterdraw'!$C$92)</f>
        <v>189</v>
      </c>
      <c r="C178" s="27" t="str">
        <f>IF($A$136=65,IF(B178="","bye",CONCATENATE(VLOOKUP(B178,'[2]Rank'!$A$3:$D$300,2),"  (",VLOOKUP(B178,'[2]Rank'!$A$3:$D$300,3),")")),"")</f>
        <v>Cvrkal Rudolf  (TTC Koral Tišnov)</v>
      </c>
      <c r="D178" s="188"/>
      <c r="E178" s="54" t="str">
        <f>IF($B176="","",IF($B178="","",IF('[2]I.st-výs-KO'!$P44="","",'[2]I.st-výs-KO'!$S44)))</f>
        <v>3:0 (6,6,6)</v>
      </c>
      <c r="F178" s="56"/>
      <c r="G178" s="67"/>
      <c r="H178" s="68"/>
    </row>
    <row r="179" spans="1:8" ht="12.75">
      <c r="A179" s="27"/>
      <c r="B179" s="38"/>
      <c r="C179" s="27"/>
      <c r="D179" s="51"/>
      <c r="E179" s="189">
        <f>IF('[2]copy_before_draw_I_st'!$F$1&gt;64,86,"")</f>
        <v>86</v>
      </c>
      <c r="F179" s="40" t="str">
        <f>IF($E$179=86,IF('[2]I.st-výs-KO'!$Q88="","",'[2]I.st-výs-KO'!$Q88),"")</f>
        <v>Šefr Filip</v>
      </c>
      <c r="G179" s="67"/>
      <c r="H179" s="68"/>
    </row>
    <row r="180" spans="1:8" ht="12.75">
      <c r="A180" s="27">
        <f>IF('[2]copy_before_draw_I_st'!$F$1&gt;64,87,"")</f>
        <v>87</v>
      </c>
      <c r="B180" s="66">
        <f>IF('[2]copy_I.st_KO_afterdraw'!$C$93="","",'[2]copy_I.st_KO_afterdraw'!$C$93)</f>
      </c>
      <c r="C180" s="27" t="str">
        <f>IF($A$136=65,IF(B180="","bye",CONCATENATE(VLOOKUP(B180,'[2]Rank'!$A$3:$D$300,2),"  (",VLOOKUP(B180,'[2]Rank'!$A$3:$D$300,3),")")),"")</f>
        <v>bye</v>
      </c>
      <c r="D180" s="51"/>
      <c r="E180" s="189"/>
      <c r="F180" s="40" t="str">
        <f>IF($E$179=86,IF('[2]I.st-výs-KO'!$P88="","",'[2]I.st-výs-KO'!$S88),"")</f>
        <v>3:0 (9,4,6)</v>
      </c>
      <c r="G180" s="67"/>
      <c r="H180" s="68"/>
    </row>
    <row r="181" spans="1:8" ht="12.75">
      <c r="A181" s="27"/>
      <c r="B181" s="38"/>
      <c r="C181" s="27"/>
      <c r="D181" s="188">
        <f>IF('[2]copy_before_draw_I_st'!$F$1&gt;64,44,"")</f>
        <v>44</v>
      </c>
      <c r="E181" s="54" t="str">
        <f>IF(OR($B180="",$B182=""),IF($B180="",IF($B182="","",'[2]I.st-výs-KO'!$F45),'[2]I.st-výs-KO'!$C45),'[2]I.st-výs-KO'!$Q45)</f>
        <v>Šefr Filip</v>
      </c>
      <c r="F181" s="56"/>
      <c r="G181" s="67"/>
      <c r="H181" s="68"/>
    </row>
    <row r="182" spans="1:8" ht="12.75">
      <c r="A182" s="27">
        <f>IF('[2]copy_before_draw_I_st'!$F$1&gt;64,88,"")</f>
        <v>88</v>
      </c>
      <c r="B182" s="66">
        <f>IF('[2]copy_I.st_KO_afterdraw'!$C$94="","",'[2]copy_I.st_KO_afterdraw'!$C$94)</f>
        <v>57</v>
      </c>
      <c r="C182" s="38" t="str">
        <f>IF($A$136=65,IF(B182="","bye",CONCATENATE(VLOOKUP(B182,'[2]Rank'!$A$3:$D$300,2),"  (",VLOOKUP(B182,'[2]Rank'!$A$3:$D$300,3),")")),"")</f>
        <v>Šefr Filip  (TTC MS Brno)</v>
      </c>
      <c r="D182" s="188"/>
      <c r="E182" s="54">
        <f>IF($B180="","",IF($B182="","",IF('[2]I.st-výs-KO'!$P45="","",'[2]I.st-výs-KO'!$S45)))</f>
      </c>
      <c r="F182" s="56"/>
      <c r="G182" s="67"/>
      <c r="H182" s="68"/>
    </row>
    <row r="183" spans="1:8" ht="12.75">
      <c r="A183" s="27"/>
      <c r="B183" s="38"/>
      <c r="C183" s="27"/>
      <c r="D183" s="51"/>
      <c r="E183" s="27"/>
      <c r="F183" s="56"/>
      <c r="G183" s="190">
        <f>IF(AND('[2]Turnaj'!$L$10=8,'[2]copy_before_draw_I_st'!$F$1&gt;64),118,"")</f>
      </c>
      <c r="H183" s="67">
        <f>IF($G$183=118,IF('[2]I.st-výs-KO'!$Q122="","",'[2]I.st-výs-KO'!$Q122),"")</f>
      </c>
    </row>
    <row r="184" spans="1:8" ht="12.75">
      <c r="A184" s="27">
        <f>IF('[2]copy_before_draw_I_st'!$F$1&gt;64,89,"")</f>
        <v>89</v>
      </c>
      <c r="B184" s="66">
        <f>IF('[2]copy_I.st_KO_afterdraw'!$C$95="","",'[2]copy_I.st_KO_afterdraw'!$C$95)</f>
        <v>53</v>
      </c>
      <c r="C184" s="38" t="str">
        <f>IF($A$136=65,IF(B184="","bye",CONCATENATE(VLOOKUP(B184,'[2]Rank'!$A$3:$D$300,2),"  (",VLOOKUP(B184,'[2]Rank'!$A$3:$D$300,3),")")),"")</f>
        <v>Skála Radek  (TTC MS Brno)</v>
      </c>
      <c r="D184" s="51"/>
      <c r="E184" s="27"/>
      <c r="F184" s="56"/>
      <c r="G184" s="190"/>
      <c r="H184" s="67">
        <f>IF($G$183=118,IF('[2]I.st-výs-KO'!$P122="","",'[2]I.st-výs-KO'!$S122),"")</f>
      </c>
    </row>
    <row r="185" spans="1:8" ht="12.75">
      <c r="A185" s="27"/>
      <c r="B185" s="38"/>
      <c r="C185" s="27"/>
      <c r="D185" s="188">
        <f>IF('[2]copy_before_draw_I_st'!$F$1&gt;64,45,"")</f>
        <v>45</v>
      </c>
      <c r="E185" s="54" t="str">
        <f>IF(OR($B184="",$B186=""),IF($B184="",IF($B186="","",'[2]I.st-výs-KO'!$F46),'[2]I.st-výs-KO'!$C46),'[2]I.st-výs-KO'!$Q46)</f>
        <v>Skála Radek</v>
      </c>
      <c r="F185" s="56"/>
      <c r="G185" s="67"/>
      <c r="H185" s="68"/>
    </row>
    <row r="186" spans="1:8" ht="12.75">
      <c r="A186" s="27">
        <f>IF('[2]copy_before_draw_I_st'!$F$1&gt;64,90,"")</f>
        <v>90</v>
      </c>
      <c r="B186" s="66">
        <f>IF('[2]copy_I.st_KO_afterdraw'!$C$96="","",'[2]copy_I.st_KO_afterdraw'!$C$96)</f>
      </c>
      <c r="C186" s="27" t="str">
        <f>IF($A$136=65,IF(B186="","bye",CONCATENATE(VLOOKUP(B186,'[2]Rank'!$A$3:$D$300,2),"  (",VLOOKUP(B186,'[2]Rank'!$A$3:$D$300,3),")")),"")</f>
        <v>bye</v>
      </c>
      <c r="D186" s="188"/>
      <c r="E186" s="54">
        <f>IF($B184="","",IF($B186="","",IF('[2]I.st-výs-KO'!$P46="","",'[2]I.st-výs-KO'!$S46)))</f>
      </c>
      <c r="F186" s="56"/>
      <c r="G186" s="67"/>
      <c r="H186" s="68"/>
    </row>
    <row r="187" spans="1:8" ht="12.75">
      <c r="A187" s="27"/>
      <c r="B187" s="38"/>
      <c r="C187" s="27"/>
      <c r="D187" s="51"/>
      <c r="E187" s="189">
        <f>IF('[2]copy_before_draw_I_st'!$F$1&gt;64,87,"")</f>
        <v>87</v>
      </c>
      <c r="F187" s="40" t="str">
        <f>IF($E$187=87,IF('[2]I.st-výs-KO'!$Q89="","",'[2]I.st-výs-KO'!$Q89),"")</f>
        <v>Skála Radek</v>
      </c>
      <c r="G187" s="67"/>
      <c r="H187" s="68"/>
    </row>
    <row r="188" spans="1:8" ht="12.75">
      <c r="A188" s="27">
        <f>IF('[2]copy_before_draw_I_st'!$F$1&gt;64,91,"")</f>
        <v>91</v>
      </c>
      <c r="B188" s="66">
        <f>IF('[2]copy_I.st_KO_afterdraw'!$C$97="","",'[2]copy_I.st_KO_afterdraw'!$C$97)</f>
        <v>67</v>
      </c>
      <c r="C188" s="27" t="str">
        <f>IF($A$136=65,IF(B188="","bye",CONCATENATE(VLOOKUP(B188,'[2]Rank'!$A$3:$D$300,2),"  (",VLOOKUP(B188,'[2]Rank'!$A$3:$D$300,3),")")),"")</f>
        <v>Vladyka Jakub  (TJ Sokol Plzeň V.)</v>
      </c>
      <c r="D188" s="51"/>
      <c r="E188" s="189"/>
      <c r="F188" s="40" t="str">
        <f>IF($E$187=87,IF('[2]I.st-výs-KO'!$P89="","",'[2]I.st-výs-KO'!$S89),"")</f>
        <v>3:0 (4,6,7)</v>
      </c>
      <c r="G188" s="67"/>
      <c r="H188" s="68"/>
    </row>
    <row r="189" spans="1:8" ht="12.75">
      <c r="A189" s="27"/>
      <c r="B189" s="38"/>
      <c r="C189" s="27"/>
      <c r="D189" s="188">
        <f>IF('[2]copy_before_draw_I_st'!$F$1&gt;64,46,"")</f>
        <v>46</v>
      </c>
      <c r="E189" s="54" t="str">
        <f>IF(OR($B188="",$B190=""),IF($B188="",IF($B190="","",'[2]I.st-výs-KO'!$F47),'[2]I.st-výs-KO'!$C47),'[2]I.st-výs-KO'!$Q47)</f>
        <v>Soukup Adam</v>
      </c>
      <c r="F189" s="56"/>
      <c r="G189" s="67"/>
      <c r="H189" s="68"/>
    </row>
    <row r="190" spans="1:8" ht="12.75">
      <c r="A190" s="27">
        <f>IF('[2]copy_before_draw_I_st'!$F$1&gt;64,92,"")</f>
        <v>92</v>
      </c>
      <c r="B190" s="66">
        <f>IF('[2]copy_I.st_KO_afterdraw'!$C$98="","",'[2]copy_I.st_KO_afterdraw'!$C$98)</f>
        <v>97</v>
      </c>
      <c r="C190" s="38" t="str">
        <f>IF($A$136=65,IF(B190="","bye",CONCATENATE(VLOOKUP(B190,'[2]Rank'!$A$3:$D$300,2),"  (",VLOOKUP(B190,'[2]Rank'!$A$3:$D$300,3),")")),"")</f>
        <v>Soukup Adam  (SK Přerov)</v>
      </c>
      <c r="D190" s="188"/>
      <c r="E190" s="54" t="str">
        <f>IF($B188="","",IF($B190="","",IF('[2]I.st-výs-KO'!$P47="","",'[2]I.st-výs-KO'!$S47)))</f>
        <v>3:2 (-9,1,-8,3,5)</v>
      </c>
      <c r="F190" s="56"/>
      <c r="G190" s="67"/>
      <c r="H190" s="68"/>
    </row>
    <row r="191" spans="1:8" ht="12.75">
      <c r="A191" s="27"/>
      <c r="B191" s="38"/>
      <c r="C191" s="27"/>
      <c r="D191" s="51"/>
      <c r="E191" s="27"/>
      <c r="F191" s="190">
        <f>IF(AND('[2]Turnaj'!$L$10=16,'[2]copy_before_draw_I_st'!$F$1&gt;64),108,IF(AND('[2]Turnaj'!$L$10=8,'[2]copy_before_draw_I_st'!$F$1&gt;64),108,""))</f>
        <v>108</v>
      </c>
      <c r="G191" s="67" t="str">
        <f>IF($F$191=108,IF('[2]I.st-výs-KO'!$Q111="","",'[2]I.st-výs-KO'!$Q111),"")</f>
        <v>Skála Radek</v>
      </c>
      <c r="H191" s="68"/>
    </row>
    <row r="192" spans="1:8" ht="12.75">
      <c r="A192" s="27">
        <f>IF('[2]copy_before_draw_I_st'!$F$1&gt;64,93,"")</f>
        <v>93</v>
      </c>
      <c r="B192" s="66">
        <f>IF('[2]copy_I.st_KO_afterdraw'!$C$99="","",'[2]copy_I.st_KO_afterdraw'!$C$99)</f>
        <v>112</v>
      </c>
      <c r="C192" s="38" t="str">
        <f>IF($A$136=65,IF(B192="","bye",CONCATENATE(VLOOKUP(B192,'[2]Rank'!$A$3:$D$300,2),"  (",VLOOKUP(B192,'[2]Rank'!$A$3:$D$300,3),")")),"")</f>
        <v>Jirka Lukáš  (TJ Sokol Chrudim)</v>
      </c>
      <c r="D192" s="51"/>
      <c r="E192" s="27"/>
      <c r="F192" s="190"/>
      <c r="G192" s="67" t="str">
        <f>IF($F$191=108,IF('[2]I.st-výs-KO'!$P111="","",'[2]I.st-výs-KO'!$S111),"")</f>
        <v>3:1 (8,9,-3,7)</v>
      </c>
      <c r="H192" s="68"/>
    </row>
    <row r="193" spans="1:8" ht="12.75">
      <c r="A193" s="27"/>
      <c r="B193" s="38"/>
      <c r="C193" s="27"/>
      <c r="D193" s="188">
        <f>IF('[2]copy_before_draw_I_st'!$F$1&gt;64,47,"")</f>
        <v>47</v>
      </c>
      <c r="E193" s="54" t="str">
        <f>IF(OR($B192="",$B194=""),IF($B192="",IF($B194="","",'[2]I.st-výs-KO'!$F48),'[2]I.st-výs-KO'!$C48),'[2]I.st-výs-KO'!$Q48)</f>
        <v>Šejvl Jakub</v>
      </c>
      <c r="F193" s="56"/>
      <c r="G193" s="67"/>
      <c r="H193" s="68"/>
    </row>
    <row r="194" spans="1:8" ht="12.75">
      <c r="A194" s="27">
        <f>IF('[2]copy_before_draw_I_st'!$F$1&gt;64,94,"")</f>
        <v>94</v>
      </c>
      <c r="B194" s="66">
        <f>IF('[2]copy_I.st_KO_afterdraw'!$C$100="","",'[2]copy_I.st_KO_afterdraw'!$C$100)</f>
        <v>76</v>
      </c>
      <c r="C194" s="27" t="str">
        <f>IF($A$136=65,IF(B194="","bye",CONCATENATE(VLOOKUP(B194,'[2]Rank'!$A$3:$D$300,2),"  (",VLOOKUP(B194,'[2]Rank'!$A$3:$D$300,3),")")),"")</f>
        <v>Šejvl Jakub  (TTC Brandýs nad Labem)</v>
      </c>
      <c r="D194" s="188"/>
      <c r="E194" s="54" t="str">
        <f>IF($B192="","",IF($B194="","",IF('[2]I.st-výs-KO'!$P48="","",'[2]I.st-výs-KO'!$S48)))</f>
        <v>3:0 (1,8,3)</v>
      </c>
      <c r="F194" s="56"/>
      <c r="G194" s="67"/>
      <c r="H194" s="68"/>
    </row>
    <row r="195" spans="1:8" ht="12.75">
      <c r="A195" s="27"/>
      <c r="B195" s="38"/>
      <c r="C195" s="27"/>
      <c r="D195" s="51"/>
      <c r="E195" s="189">
        <f>IF('[2]copy_before_draw_I_st'!$F$1&gt;64,88,"")</f>
        <v>88</v>
      </c>
      <c r="F195" s="40" t="str">
        <f>IF($E$195=88,IF('[2]I.st-výs-KO'!$Q90="","",'[2]I.st-výs-KO'!$Q90),"")</f>
        <v>Plachta Jakub</v>
      </c>
      <c r="G195" s="67"/>
      <c r="H195" s="68"/>
    </row>
    <row r="196" spans="1:8" ht="12.75">
      <c r="A196" s="27">
        <f>IF('[2]copy_before_draw_I_st'!$F$1&gt;64,95,"")</f>
        <v>95</v>
      </c>
      <c r="B196" s="66">
        <f>IF('[2]copy_I.st_KO_afterdraw'!$C$101="","",'[2]copy_I.st_KO_afterdraw'!$C$101)</f>
      </c>
      <c r="C196" s="27" t="str">
        <f>IF($A$136=65,IF(B196="","bye",CONCATENATE(VLOOKUP(B196,'[2]Rank'!$A$3:$D$300,2),"  (",VLOOKUP(B196,'[2]Rank'!$A$3:$D$300,3),")")),"")</f>
        <v>bye</v>
      </c>
      <c r="D196" s="51"/>
      <c r="E196" s="189"/>
      <c r="F196" s="40" t="str">
        <f>IF($E$195=88,IF('[2]I.st-výs-KO'!$P90="","",'[2]I.st-výs-KO'!$S90),"")</f>
        <v>3:1 (2,-4,7,9)</v>
      </c>
      <c r="G196" s="67"/>
      <c r="H196" s="68"/>
    </row>
    <row r="197" spans="1:8" ht="12.75">
      <c r="A197" s="27"/>
      <c r="B197" s="38"/>
      <c r="C197" s="27"/>
      <c r="D197" s="188">
        <f>IF('[2]copy_before_draw_I_st'!$F$1&gt;64,48,"")</f>
        <v>48</v>
      </c>
      <c r="E197" s="54" t="str">
        <f>IF(OR($B196="",$B198=""),IF($B196="",IF($B198="","",'[2]I.st-výs-KO'!$F49),'[2]I.st-výs-KO'!$C49),'[2]I.st-výs-KO'!$Q49)</f>
        <v>Plachta Jakub</v>
      </c>
      <c r="F197" s="56"/>
      <c r="G197" s="67"/>
      <c r="H197" s="68"/>
    </row>
    <row r="198" spans="1:6" ht="12.75">
      <c r="A198" s="27">
        <f>IF('[2]copy_before_draw_I_st'!$F$1&gt;64,96,"")</f>
        <v>96</v>
      </c>
      <c r="B198" s="66">
        <f>IF('[2]copy_I.st_KO_afterdraw'!$C$102="","",'[2]copy_I.st_KO_afterdraw'!$C$102)</f>
        <v>28</v>
      </c>
      <c r="C198" s="38" t="str">
        <f>IF($A$136=65,IF(B198="","bye",CONCATENATE(VLOOKUP(B198,'[2]Rank'!$A$3:$D$300,2),"  (",VLOOKUP(B198,'[2]Rank'!$A$3:$D$300,3),")")),"")</f>
        <v>Plachta Jakub  (TJ Ostrava KST)</v>
      </c>
      <c r="D198" s="188"/>
      <c r="E198" s="54">
        <f>IF($B196="","",IF($B198="","",IF('[2]I.st-výs-KO'!$P49="","",'[2]I.st-výs-KO'!$S49)))</f>
      </c>
      <c r="F198" s="56"/>
    </row>
    <row r="199" spans="1:8" ht="25.5">
      <c r="A199" s="191" t="str">
        <f>IF($A$136=65,$A$1,"")</f>
        <v>Bodovací turnaj mládeže ČAST</v>
      </c>
      <c r="B199" s="191"/>
      <c r="C199" s="191"/>
      <c r="D199" s="191"/>
      <c r="E199" s="191"/>
      <c r="F199" s="191"/>
      <c r="G199" s="191"/>
      <c r="H199" s="191"/>
    </row>
    <row r="200" spans="1:8" ht="18.75">
      <c r="A200" s="192" t="str">
        <f>IF($A$136=65,CONCATENATE("Dvouhra"," ",'[2]Turnaj'!$F$6," - ","I. stupeň"),"")</f>
        <v>Dvouhra dorostenci - I. stupeň</v>
      </c>
      <c r="B200" s="192"/>
      <c r="C200" s="192"/>
      <c r="D200" s="192"/>
      <c r="E200" s="192"/>
      <c r="F200" s="192"/>
      <c r="G200" s="192"/>
      <c r="H200" s="192"/>
    </row>
    <row r="201" spans="3:8" ht="15.75">
      <c r="C201" s="22"/>
      <c r="D201" s="24"/>
      <c r="F201" s="61"/>
      <c r="H201" s="61" t="str">
        <f>IF($A$136=65,$G$3,"")</f>
        <v>Hustopeče  21.11.2015</v>
      </c>
    </row>
    <row r="202" spans="1:8" ht="15.75">
      <c r="A202" s="27">
        <f>IF('[2]copy_before_draw_I_st'!$F$1&gt;64,97,"")</f>
        <v>97</v>
      </c>
      <c r="B202" s="66">
        <f>IF('[2]copy_I.st_KO_afterdraw'!$C$103="","",'[2]copy_I.st_KO_afterdraw'!$C$103)</f>
        <v>29</v>
      </c>
      <c r="C202" s="38" t="str">
        <f>IF($A$202=97,IF(B202="","bye",CONCATENATE(VLOOKUP(B202,'[2]Rank'!$A$3:$D$300,2),"  (",VLOOKUP(B202,'[2]Rank'!$A$3:$D$300,3),")")),"")</f>
        <v>Bárta Daniel  (TJ Jiskra Havlíčkův Brod)</v>
      </c>
      <c r="D202" s="27"/>
      <c r="E202" s="27"/>
      <c r="F202" s="38"/>
      <c r="H202" s="31" t="str">
        <f>IF($A$202=97,"Stránka 4","")</f>
        <v>Stránka 4</v>
      </c>
    </row>
    <row r="203" spans="1:6" ht="12.75">
      <c r="A203" s="27"/>
      <c r="C203" s="27"/>
      <c r="D203" s="188">
        <f>IF('[2]copy_before_draw_I_st'!$F$1&gt;64,49,"")</f>
        <v>49</v>
      </c>
      <c r="E203" s="54" t="str">
        <f>IF(OR($B202="",$B204=""),IF($B202="",IF($B204="","",'[2]I.st-výs-KO'!$F50),'[2]I.st-výs-KO'!$C50),'[2]I.st-výs-KO'!$Q50)</f>
        <v>Bárta Daniel</v>
      </c>
      <c r="F203" s="38"/>
    </row>
    <row r="204" spans="1:8" ht="12.75">
      <c r="A204" s="27">
        <f>IF('[2]copy_before_draw_I_st'!$F$1&gt;64,98,"")</f>
        <v>98</v>
      </c>
      <c r="B204" s="66">
        <f>IF('[2]copy_I.st_KO_afterdraw'!$C$104="","",'[2]copy_I.st_KO_afterdraw'!$C$104)</f>
      </c>
      <c r="C204" s="27" t="str">
        <f>IF($A$202=97,IF(B204="","bye",CONCATENATE(VLOOKUP(B204,'[2]Rank'!$A$3:$D$300,2),"  (",VLOOKUP(B204,'[2]Rank'!$A$3:$D$300,3),")")),"")</f>
        <v>bye</v>
      </c>
      <c r="D204" s="188"/>
      <c r="E204" s="54">
        <f>IF($B202="","",IF($B204="","",IF('[2]I.st-výs-KO'!$P50="","",'[2]I.st-výs-KO'!$S50)))</f>
      </c>
      <c r="F204" s="38"/>
      <c r="H204" s="30"/>
    </row>
    <row r="205" spans="1:8" ht="12.75">
      <c r="A205" s="27"/>
      <c r="C205" s="27"/>
      <c r="D205" s="49"/>
      <c r="E205" s="189">
        <f>IF('[2]copy_before_draw_I_st'!$F$1&gt;64,89,"")</f>
        <v>89</v>
      </c>
      <c r="F205" s="40" t="str">
        <f>IF($E$205=89,IF('[2]I.st-výs-KO'!$Q91="","",'[2]I.st-výs-KO'!$Q91),"")</f>
        <v>Bárta Daniel</v>
      </c>
      <c r="G205" s="67"/>
      <c r="H205" s="68"/>
    </row>
    <row r="206" spans="1:8" ht="12.75">
      <c r="A206" s="27">
        <f>IF('[2]copy_before_draw_I_st'!$F$1&gt;64,99,"")</f>
        <v>99</v>
      </c>
      <c r="B206" s="66">
        <f>IF('[2]copy_I.st_KO_afterdraw'!$C$105="","",'[2]copy_I.st_KO_afterdraw'!$C$105)</f>
        <v>88</v>
      </c>
      <c r="C206" s="27" t="str">
        <f>IF($A$202=97,IF(B206="","bye",CONCATENATE(VLOOKUP(B206,'[2]Rank'!$A$3:$D$300,2),"  (",VLOOKUP(B206,'[2]Rank'!$A$3:$D$300,3),")")),"")</f>
        <v>Demek Matyáš  (TJ Ostrava KST)</v>
      </c>
      <c r="D206" s="49"/>
      <c r="E206" s="189"/>
      <c r="F206" s="40" t="str">
        <f>IF($E$205=89,IF('[2]I.st-výs-KO'!$P91="","",'[2]I.st-výs-KO'!$S91),"")</f>
        <v>3:0 (3,4,5)</v>
      </c>
      <c r="G206" s="67"/>
      <c r="H206" s="68"/>
    </row>
    <row r="207" spans="1:8" ht="12.75">
      <c r="A207" s="27"/>
      <c r="C207" s="27"/>
      <c r="D207" s="188">
        <f>IF('[2]copy_before_draw_I_st'!$F$1&gt;64,50,"")</f>
        <v>50</v>
      </c>
      <c r="E207" s="54" t="str">
        <f>IF(OR($B206="",$B208=""),IF($B206="",IF($B208="","",'[2]I.st-výs-KO'!$F51),'[2]I.st-výs-KO'!$C51),'[2]I.st-výs-KO'!$Q51)</f>
        <v>Nguyen Tuan Anh</v>
      </c>
      <c r="F207" s="40"/>
      <c r="G207" s="67"/>
      <c r="H207" s="68"/>
    </row>
    <row r="208" spans="1:8" ht="12.75">
      <c r="A208" s="27">
        <f>IF('[2]copy_before_draw_I_st'!$F$1&gt;64,100,"")</f>
        <v>100</v>
      </c>
      <c r="B208" s="66">
        <f>IF('[2]copy_I.st_KO_afterdraw'!$C$106="","",'[2]copy_I.st_KO_afterdraw'!$C$106)</f>
        <v>140</v>
      </c>
      <c r="C208" s="38" t="str">
        <f>IF($A$202=97,IF(B208="","bye",CONCATENATE(VLOOKUP(B208,'[2]Rank'!$A$3:$D$300,2),"  (",VLOOKUP(B208,'[2]Rank'!$A$3:$D$300,3),")")),"")</f>
        <v>Nguyen Tuan Anh  (Sokol Brno I.)</v>
      </c>
      <c r="D208" s="188"/>
      <c r="E208" s="54" t="str">
        <f>IF($B206="","",IF($B208="","",IF('[2]I.st-výs-KO'!$P51="","",'[2]I.st-výs-KO'!$S51)))</f>
        <v>wo</v>
      </c>
      <c r="F208" s="40"/>
      <c r="G208" s="67"/>
      <c r="H208" s="68"/>
    </row>
    <row r="209" spans="1:8" ht="12.75">
      <c r="A209" s="27"/>
      <c r="C209" s="27"/>
      <c r="D209" s="49"/>
      <c r="E209" s="44"/>
      <c r="F209" s="190">
        <f>IF(AND('[2]Turnaj'!$L$10=16,'[2]copy_before_draw_I_st'!$F$1&gt;64),109,IF(AND('[2]Turnaj'!$L$10=8,'[2]copy_before_draw_I_st'!$F$1&gt;64),109,""))</f>
        <v>109</v>
      </c>
      <c r="G209" s="67" t="str">
        <f>IF($F$209=109,IF('[2]I.st-výs-KO'!$Q112="","",'[2]I.st-výs-KO'!$Q112),"")</f>
        <v>Bárta Daniel</v>
      </c>
      <c r="H209" s="68"/>
    </row>
    <row r="210" spans="1:8" ht="12.75">
      <c r="A210" s="27">
        <f>IF('[2]copy_before_draw_I_st'!$F$1&gt;64,101,"")</f>
        <v>101</v>
      </c>
      <c r="B210" s="66">
        <f>IF('[2]copy_I.st_KO_afterdraw'!$C$107="","",'[2]copy_I.st_KO_afterdraw'!$C$107)</f>
        <v>66</v>
      </c>
      <c r="C210" s="38" t="str">
        <f>IF($A$202=97,IF(B210="","bye",CONCATENATE(VLOOKUP(B210,'[2]Rank'!$A$3:$D$300,2),"  (",VLOOKUP(B210,'[2]Rank'!$A$3:$D$300,3),")")),"")</f>
        <v>Přída Kryštof  (SK DDM Kotlářka Praha)</v>
      </c>
      <c r="D210" s="49"/>
      <c r="E210" s="44"/>
      <c r="F210" s="190"/>
      <c r="G210" s="67" t="str">
        <f>IF($F$209=109,IF('[2]I.st-výs-KO'!$P112="","",'[2]I.st-výs-KO'!$S112),"")</f>
        <v>3:0 (9,9,4)</v>
      </c>
      <c r="H210" s="68"/>
    </row>
    <row r="211" spans="1:8" ht="12.75">
      <c r="A211" s="27"/>
      <c r="C211" s="27"/>
      <c r="D211" s="188">
        <f>IF('[2]copy_before_draw_I_st'!$F$1&gt;64,51,"")</f>
        <v>51</v>
      </c>
      <c r="E211" s="54" t="str">
        <f>IF(OR($B210="",$B212=""),IF($B210="",IF($B212="","",'[2]I.st-výs-KO'!$F52),'[2]I.st-výs-KO'!$C52),'[2]I.st-výs-KO'!$Q52)</f>
        <v>Ondrovčák Radek</v>
      </c>
      <c r="F211" s="40"/>
      <c r="G211" s="67"/>
      <c r="H211" s="68"/>
    </row>
    <row r="212" spans="1:8" ht="12.75">
      <c r="A212" s="27">
        <f>IF('[2]copy_before_draw_I_st'!$F$1&gt;64,102,"")</f>
        <v>102</v>
      </c>
      <c r="B212" s="66">
        <f>IF('[2]copy_I.st_KO_afterdraw'!$C$108="","",'[2]copy_I.st_KO_afterdraw'!$C$108)</f>
        <v>70</v>
      </c>
      <c r="C212" s="27" t="str">
        <f>IF($A$202=97,IF(B212="","bye",CONCATENATE(VLOOKUP(B212,'[2]Rank'!$A$3:$D$300,2),"  (",VLOOKUP(B212,'[2]Rank'!$A$3:$D$300,3),")")),"")</f>
        <v>Ondrovčák Radek  (TTC Sokol Znojmo)</v>
      </c>
      <c r="D212" s="188"/>
      <c r="E212" s="54" t="str">
        <f>IF($B210="","",IF($B212="","",IF('[2]I.st-výs-KO'!$P52="","",'[2]I.st-výs-KO'!$S52)))</f>
        <v>3:0 (5,4,8)</v>
      </c>
      <c r="F212" s="40"/>
      <c r="G212" s="67"/>
      <c r="H212" s="68"/>
    </row>
    <row r="213" spans="1:8" ht="12.75">
      <c r="A213" s="27"/>
      <c r="C213" s="27"/>
      <c r="D213" s="49"/>
      <c r="E213" s="189">
        <f>IF('[2]copy_before_draw_I_st'!$F$1&gt;64,90,"")</f>
        <v>90</v>
      </c>
      <c r="F213" s="40" t="str">
        <f>IF($E$213=90,IF('[2]I.st-výs-KO'!$Q92="","",'[2]I.st-výs-KO'!$Q92),"")</f>
        <v>Škarban Jan</v>
      </c>
      <c r="G213" s="67"/>
      <c r="H213" s="68"/>
    </row>
    <row r="214" spans="1:8" ht="12.75">
      <c r="A214" s="27">
        <f>IF('[2]copy_before_draw_I_st'!$F$1&gt;64,103,"")</f>
        <v>103</v>
      </c>
      <c r="B214" s="66">
        <f>IF('[2]copy_I.st_KO_afterdraw'!$C$109="","",'[2]copy_I.st_KO_afterdraw'!$C$109)</f>
      </c>
      <c r="C214" s="27" t="str">
        <f>IF($A$202=97,IF(B214="","bye",CONCATENATE(VLOOKUP(B214,'[2]Rank'!$A$3:$D$300,2),"  (",VLOOKUP(B214,'[2]Rank'!$A$3:$D$300,3),")")),"")</f>
        <v>bye</v>
      </c>
      <c r="D214" s="49"/>
      <c r="E214" s="189"/>
      <c r="F214" s="40" t="str">
        <f>IF($E$213=90,IF('[2]I.st-výs-KO'!$P92="","",'[2]I.st-výs-KO'!$S92),"")</f>
        <v>3:2 (8,-8,-7,2,3)</v>
      </c>
      <c r="G214" s="67"/>
      <c r="H214" s="68"/>
    </row>
    <row r="215" spans="1:8" ht="12.75">
      <c r="A215" s="27"/>
      <c r="C215" s="27"/>
      <c r="D215" s="188">
        <f>IF('[2]copy_before_draw_I_st'!$F$1&gt;64,52,"")</f>
        <v>52</v>
      </c>
      <c r="E215" s="54" t="str">
        <f>IF(OR($B214="",$B216=""),IF($B214="",IF($B216="","",'[2]I.st-výs-KO'!$F53),'[2]I.st-výs-KO'!$C53),'[2]I.st-výs-KO'!$Q53)</f>
        <v>Škarban Jan</v>
      </c>
      <c r="F215" s="46"/>
      <c r="G215" s="67"/>
      <c r="H215" s="68"/>
    </row>
    <row r="216" spans="1:8" ht="12.75">
      <c r="A216" s="27">
        <f>IF('[2]copy_before_draw_I_st'!$F$1&gt;64,104,"")</f>
        <v>104</v>
      </c>
      <c r="B216" s="66">
        <f>IF('[2]copy_I.st_KO_afterdraw'!$C$110="","",'[2]copy_I.st_KO_afterdraw'!$C$110)</f>
        <v>48</v>
      </c>
      <c r="C216" s="38" t="str">
        <f>IF($A$202=97,IF(B216="","bye",CONCATENATE(VLOOKUP(B216,'[2]Rank'!$A$3:$D$300,2),"  (",VLOOKUP(B216,'[2]Rank'!$A$3:$D$300,3),")")),"")</f>
        <v>Škarban Jan  (TJ Slavoj Praha)</v>
      </c>
      <c r="D216" s="188"/>
      <c r="E216" s="54">
        <f>IF($B214="","",IF($B216="","",IF('[2]I.st-výs-KO'!$P53="","",'[2]I.st-výs-KO'!$S53)))</f>
      </c>
      <c r="F216" s="40"/>
      <c r="G216" s="67"/>
      <c r="H216" s="68"/>
    </row>
    <row r="217" spans="1:8" ht="12.75">
      <c r="A217" s="27"/>
      <c r="C217" s="27"/>
      <c r="D217" s="49"/>
      <c r="E217" s="68"/>
      <c r="F217" s="40"/>
      <c r="G217" s="190">
        <f>IF(AND('[2]Turnaj'!$L$10=8,'[2]copy_before_draw_I_st'!$F$1&gt;64),119,"")</f>
      </c>
      <c r="H217" s="67">
        <f>IF($G$217=119,IF('[2]I.st-výs-KO'!$Q123="","",'[2]I.st-výs-KO'!$Q123),"")</f>
      </c>
    </row>
    <row r="218" spans="1:8" ht="12.75">
      <c r="A218" s="27">
        <f>IF('[2]copy_before_draw_I_st'!$F$1&gt;64,105,"")</f>
        <v>105</v>
      </c>
      <c r="B218" s="66">
        <f>IF('[2]copy_I.st_KO_afterdraw'!$C$111="","",'[2]copy_I.st_KO_afterdraw'!$C$111)</f>
        <v>50</v>
      </c>
      <c r="C218" s="38" t="str">
        <f>IF($A$202=97,IF(B218="","bye",CONCATENATE(VLOOKUP(B218,'[2]Rank'!$A$3:$D$300,2),"  (",VLOOKUP(B218,'[2]Rank'!$A$3:$D$300,3),")")),"")</f>
        <v>Olejník Petr  (SK Přerov)</v>
      </c>
      <c r="D218" s="49"/>
      <c r="E218" s="44"/>
      <c r="F218" s="46"/>
      <c r="G218" s="190"/>
      <c r="H218" s="67">
        <f>IF($G$217=119,IF('[2]I.st-výs-KO'!$P123="","",'[2]I.st-výs-KO'!$S123),"")</f>
      </c>
    </row>
    <row r="219" spans="1:8" ht="12.75">
      <c r="A219" s="27"/>
      <c r="C219" s="27"/>
      <c r="D219" s="188">
        <f>IF('[2]copy_before_draw_I_st'!$F$1&gt;64,53,"")</f>
        <v>53</v>
      </c>
      <c r="E219" s="54" t="str">
        <f>IF(OR($B218="",$B220=""),IF($B218="",IF($B220="","",'[2]I.st-výs-KO'!$F54),'[2]I.st-výs-KO'!$C54),'[2]I.st-výs-KO'!$Q54)</f>
        <v>Olejník Petr</v>
      </c>
      <c r="F219" s="38"/>
      <c r="G219" s="67"/>
      <c r="H219" s="68"/>
    </row>
    <row r="220" spans="1:8" ht="12.75">
      <c r="A220" s="27">
        <f>IF('[2]copy_before_draw_I_st'!$F$1&gt;64,106,"")</f>
        <v>106</v>
      </c>
      <c r="B220" s="66">
        <f>IF('[2]copy_I.st_KO_afterdraw'!$C$112="","",'[2]copy_I.st_KO_afterdraw'!$C$112)</f>
      </c>
      <c r="C220" s="27" t="str">
        <f>IF($A$202=97,IF(B220="","bye",CONCATENATE(VLOOKUP(B220,'[2]Rank'!$A$3:$D$300,2),"  (",VLOOKUP(B220,'[2]Rank'!$A$3:$D$300,3),")")),"")</f>
        <v>bye</v>
      </c>
      <c r="D220" s="188"/>
      <c r="E220" s="54">
        <f>IF($B218="","",IF($B220="","",IF('[2]I.st-výs-KO'!$P54="","",'[2]I.st-výs-KO'!$S54)))</f>
      </c>
      <c r="F220" s="38"/>
      <c r="G220" s="67"/>
      <c r="H220" s="68"/>
    </row>
    <row r="221" spans="1:8" ht="12.75">
      <c r="A221" s="27"/>
      <c r="C221" s="27"/>
      <c r="D221" s="51"/>
      <c r="E221" s="189">
        <f>IF('[2]copy_before_draw_I_st'!$F$1&gt;64,91,"")</f>
        <v>91</v>
      </c>
      <c r="F221" s="40" t="str">
        <f>IF($E$221=91,IF('[2]I.st-výs-KO'!$Q93="","",'[2]I.st-výs-KO'!$Q93),"")</f>
        <v>Olejník Petr</v>
      </c>
      <c r="G221" s="67"/>
      <c r="H221" s="68"/>
    </row>
    <row r="222" spans="1:8" ht="12.75">
      <c r="A222" s="27">
        <f>IF('[2]copy_before_draw_I_st'!$F$1&gt;64,107,"")</f>
        <v>107</v>
      </c>
      <c r="B222" s="66">
        <f>IF('[2]copy_I.st_KO_afterdraw'!$C$113="","",'[2]copy_I.st_KO_afterdraw'!$C$113)</f>
        <v>184</v>
      </c>
      <c r="C222" s="27" t="str">
        <f>IF($A$202=97,IF(B222="","bye",CONCATENATE(VLOOKUP(B222,'[2]Rank'!$A$3:$D$300,2),"  (",VLOOKUP(B222,'[2]Rank'!$A$3:$D$300,3),")")),"")</f>
        <v>Bohdanecký Jakub  (TJ Sokol PP Hradec Králové 2)</v>
      </c>
      <c r="D222" s="51"/>
      <c r="E222" s="189"/>
      <c r="F222" s="40" t="str">
        <f>IF($E$221=91,IF('[2]I.st-výs-KO'!$P93="","",'[2]I.st-výs-KO'!$S93),"")</f>
        <v>3:0 (9,3,11)</v>
      </c>
      <c r="G222" s="67"/>
      <c r="H222" s="68"/>
    </row>
    <row r="223" spans="1:8" ht="12.75">
      <c r="A223" s="27"/>
      <c r="C223" s="27"/>
      <c r="D223" s="188">
        <f>IF('[2]copy_before_draw_I_st'!$F$1&gt;64,54,"")</f>
        <v>54</v>
      </c>
      <c r="E223" s="54" t="str">
        <f>IF(OR($B222="",$B224=""),IF($B222="",IF($B224="","",'[2]I.st-výs-KO'!$F55),'[2]I.st-výs-KO'!$C55),'[2]I.st-výs-KO'!$Q55)</f>
        <v>Bohdanecký Jakub</v>
      </c>
      <c r="F223" s="38"/>
      <c r="G223" s="67"/>
      <c r="H223" s="68"/>
    </row>
    <row r="224" spans="1:8" ht="12.75">
      <c r="A224" s="27">
        <f>IF('[2]copy_before_draw_I_st'!$F$1&gt;64,108,"")</f>
        <v>108</v>
      </c>
      <c r="B224" s="66">
        <f>IF('[2]copy_I.st_KO_afterdraw'!$C$114="","",'[2]copy_I.st_KO_afterdraw'!$C$114)</f>
        <v>106</v>
      </c>
      <c r="C224" s="38" t="str">
        <f>IF($A$202=97,IF(B224="","bye",CONCATENATE(VLOOKUP(B224,'[2]Rank'!$A$3:$D$300,2),"  (",VLOOKUP(B224,'[2]Rank'!$A$3:$D$300,3),")")),"")</f>
        <v>Pechman Petr  (TJ Sokol Plzeň V.)</v>
      </c>
      <c r="D224" s="188"/>
      <c r="E224" s="54" t="str">
        <f>IF($B222="","",IF($B224="","",IF('[2]I.st-výs-KO'!$P55="","",'[2]I.st-výs-KO'!$S55)))</f>
        <v>wo</v>
      </c>
      <c r="F224" s="38"/>
      <c r="G224" s="67"/>
      <c r="H224" s="68"/>
    </row>
    <row r="225" spans="1:8" ht="12.75">
      <c r="A225" s="27"/>
      <c r="C225" s="27"/>
      <c r="D225" s="51"/>
      <c r="E225" s="54"/>
      <c r="F225" s="190">
        <f>IF(AND('[2]Turnaj'!$L$10=16,'[2]copy_before_draw_I_st'!$F$1&gt;64),110,IF(AND('[2]Turnaj'!$L$10=8,'[2]copy_before_draw_I_st'!$F$1&gt;64),110,""))</f>
        <v>110</v>
      </c>
      <c r="G225" s="67" t="str">
        <f>IF($F$225=110,IF('[2]I.st-výs-KO'!$Q113="","",'[2]I.st-výs-KO'!$Q113),"")</f>
        <v>Fausek Matěj</v>
      </c>
      <c r="H225" s="68"/>
    </row>
    <row r="226" spans="1:8" ht="12.75">
      <c r="A226" s="27">
        <f>IF('[2]copy_before_draw_I_st'!$F$1&gt;64,109,"")</f>
        <v>109</v>
      </c>
      <c r="B226" s="66">
        <f>IF('[2]copy_I.st_KO_afterdraw'!$C$115="","",'[2]copy_I.st_KO_afterdraw'!$C$115)</f>
        <v>93</v>
      </c>
      <c r="C226" s="38" t="str">
        <f>IF($A$202=97,IF(B226="","bye",CONCATENATE(VLOOKUP(B226,'[2]Rank'!$A$3:$D$300,2),"  (",VLOOKUP(B226,'[2]Rank'!$A$3:$D$300,3),")")),"")</f>
        <v>Herec Lukáš  (BSK Malenovice)</v>
      </c>
      <c r="D226" s="49"/>
      <c r="E226" s="27"/>
      <c r="F226" s="190"/>
      <c r="G226" s="67" t="str">
        <f>IF($F$225=110,IF('[2]I.st-výs-KO'!$P113="","",'[2]I.st-výs-KO'!$S113),"")</f>
        <v>3:0 (6,8,12)</v>
      </c>
      <c r="H226" s="68"/>
    </row>
    <row r="227" spans="1:8" ht="12.75">
      <c r="A227" s="27"/>
      <c r="C227" s="68"/>
      <c r="D227" s="188">
        <f>IF('[2]copy_before_draw_I_st'!$F$1&gt;64,55,"")</f>
        <v>55</v>
      </c>
      <c r="E227" s="54" t="str">
        <f>IF(OR($B226="",$B228=""),IF($B226="",IF($B228="","",'[2]I.st-výs-KO'!$F56),'[2]I.st-výs-KO'!$C56),'[2]I.st-výs-KO'!$Q56)</f>
        <v>Dvořák Vítek</v>
      </c>
      <c r="F227" s="56"/>
      <c r="G227" s="67"/>
      <c r="H227" s="68"/>
    </row>
    <row r="228" spans="1:8" ht="12.75">
      <c r="A228" s="27">
        <f>IF('[2]copy_before_draw_I_st'!$F$1&gt;64,110,"")</f>
        <v>110</v>
      </c>
      <c r="B228" s="66">
        <f>IF('[2]copy_I.st_KO_afterdraw'!$C$116="","",'[2]copy_I.st_KO_afterdraw'!$C$116)</f>
        <v>195</v>
      </c>
      <c r="C228" s="27" t="str">
        <f>IF($A$202=97,IF(B228="","bye",CONCATENATE(VLOOKUP(B228,'[2]Rank'!$A$3:$D$300,2),"  (",VLOOKUP(B228,'[2]Rank'!$A$3:$D$300,3),")")),"")</f>
        <v>Dvořák Vítek  (Exiteria KST Jeseník)</v>
      </c>
      <c r="D228" s="188"/>
      <c r="E228" s="54" t="str">
        <f>IF($B226="","",IF($B228="","",IF('[2]I.st-výs-KO'!$P56="","",'[2]I.st-výs-KO'!$S56)))</f>
        <v>3:1 (8,-9,3,4)</v>
      </c>
      <c r="F228" s="56"/>
      <c r="G228" s="67"/>
      <c r="H228" s="68"/>
    </row>
    <row r="229" spans="1:8" ht="12.75">
      <c r="A229" s="27"/>
      <c r="C229" s="27"/>
      <c r="D229" s="49"/>
      <c r="E229" s="189">
        <f>IF('[2]copy_before_draw_I_st'!$F$1&gt;64,92,"")</f>
        <v>92</v>
      </c>
      <c r="F229" s="40" t="str">
        <f>IF($E$229=92,IF('[2]I.st-výs-KO'!$Q94="","",'[2]I.st-výs-KO'!$Q94),"")</f>
        <v>Fausek Matěj</v>
      </c>
      <c r="G229" s="67"/>
      <c r="H229" s="68"/>
    </row>
    <row r="230" spans="1:8" ht="12.75">
      <c r="A230" s="27">
        <f>IF('[2]copy_before_draw_I_st'!$F$1&gt;64,111,"")</f>
        <v>111</v>
      </c>
      <c r="B230" s="66">
        <f>IF('[2]copy_I.st_KO_afterdraw'!$C$117="","",'[2]copy_I.st_KO_afterdraw'!$C$117)</f>
      </c>
      <c r="C230" s="27" t="str">
        <f>IF($A$202=97,IF(B230="","bye",CONCATENATE(VLOOKUP(B230,'[2]Rank'!$A$3:$D$300,2),"  (",VLOOKUP(B230,'[2]Rank'!$A$3:$D$300,3),")")),"")</f>
        <v>bye</v>
      </c>
      <c r="D230" s="49"/>
      <c r="E230" s="189"/>
      <c r="F230" s="40" t="str">
        <f>IF($E$229=92,IF('[2]I.st-výs-KO'!$P94="","",'[2]I.st-výs-KO'!$S94),"")</f>
        <v>3:1 (7,-8,8,3)</v>
      </c>
      <c r="G230" s="67"/>
      <c r="H230" s="68"/>
    </row>
    <row r="231" spans="1:8" ht="12.75">
      <c r="A231" s="27"/>
      <c r="C231" s="27"/>
      <c r="D231" s="188">
        <f>IF('[2]copy_before_draw_I_st'!$F$1&gt;64,56,"")</f>
        <v>56</v>
      </c>
      <c r="E231" s="54" t="str">
        <f>IF(OR($B230="",$B232=""),IF($B230="",IF($B232="","",'[2]I.st-výs-KO'!$F57),'[2]I.st-výs-KO'!$C57),'[2]I.st-výs-KO'!$Q57)</f>
        <v>Fausek Matěj</v>
      </c>
      <c r="F231" s="56"/>
      <c r="G231" s="67"/>
      <c r="H231" s="68"/>
    </row>
    <row r="232" spans="1:8" ht="12.75">
      <c r="A232" s="27">
        <f>IF('[2]copy_before_draw_I_st'!$F$1&gt;64,112,"")</f>
        <v>112</v>
      </c>
      <c r="B232" s="66">
        <f>IF('[2]copy_I.st_KO_afterdraw'!$C$118="","",'[2]copy_I.st_KO_afterdraw'!$C$118)</f>
        <v>37</v>
      </c>
      <c r="C232" s="38" t="str">
        <f>IF($A$202=97,IF(B232="","bye",CONCATENATE(VLOOKUP(B232,'[2]Rank'!$A$3:$D$300,2),"  (",VLOOKUP(B232,'[2]Rank'!$A$3:$D$300,3),")")),"")</f>
        <v>Fausek Matěj  (TTC Elizza Praha)</v>
      </c>
      <c r="D232" s="188"/>
      <c r="E232" s="54">
        <f>IF($B230="","",IF($B232="","",IF('[2]I.st-výs-KO'!$P57="","",'[2]I.st-výs-KO'!$S57)))</f>
      </c>
      <c r="F232" s="56"/>
      <c r="G232" s="67"/>
      <c r="H232" s="68"/>
    </row>
    <row r="233" spans="1:8" ht="12.75">
      <c r="A233" s="27"/>
      <c r="B233" s="27"/>
      <c r="C233" s="68"/>
      <c r="D233" s="68"/>
      <c r="E233" s="68"/>
      <c r="F233" s="56"/>
      <c r="G233" s="67"/>
      <c r="H233" s="68"/>
    </row>
    <row r="234" spans="1:8" ht="12.75">
      <c r="A234" s="27">
        <f>IF('[2]copy_before_draw_I_st'!$F$1&gt;64,113,"")</f>
        <v>113</v>
      </c>
      <c r="B234" s="66">
        <f>IF('[2]copy_I.st_KO_afterdraw'!$C$119="","",'[2]copy_I.st_KO_afterdraw'!$C$119)</f>
        <v>33</v>
      </c>
      <c r="C234" s="38" t="str">
        <f>IF($A$202=97,IF(B234="","bye",CONCATENATE(VLOOKUP(B234,'[2]Rank'!$A$3:$D$300,2),"  (",VLOOKUP(B234,'[2]Rank'!$A$3:$D$300,3),")")),"")</f>
        <v>Stránský Matěj  (SK US Steinerova Choceň)</v>
      </c>
      <c r="D234" s="49"/>
      <c r="E234" s="68"/>
      <c r="F234" s="46"/>
      <c r="G234" s="67"/>
      <c r="H234" s="68"/>
    </row>
    <row r="235" spans="1:8" ht="12.75">
      <c r="A235" s="27"/>
      <c r="B235" s="27"/>
      <c r="C235" s="68"/>
      <c r="D235" s="188">
        <f>IF('[2]copy_before_draw_I_st'!$F$1&gt;64,57,"")</f>
        <v>57</v>
      </c>
      <c r="E235" s="54" t="str">
        <f>IF(OR($B234="",$B236=""),IF($B234="",IF($B236="","",'[2]I.st-výs-KO'!$F58),'[2]I.st-výs-KO'!$C58),'[2]I.st-výs-KO'!$Q58)</f>
        <v>Stránský Matěj</v>
      </c>
      <c r="F235" s="46"/>
      <c r="G235" s="67"/>
      <c r="H235" s="68"/>
    </row>
    <row r="236" spans="1:8" ht="12.75">
      <c r="A236" s="27">
        <f>IF('[2]copy_before_draw_I_st'!$F$1&gt;64,114,"")</f>
        <v>114</v>
      </c>
      <c r="B236" s="66">
        <f>IF('[2]copy_I.st_KO_afterdraw'!$C$120="","",'[2]copy_I.st_KO_afterdraw'!$C$120)</f>
      </c>
      <c r="C236" s="27" t="str">
        <f>IF($A$202=97,IF(B236="","bye",CONCATENATE(VLOOKUP(B236,'[2]Rank'!$A$3:$D$300,2),"  (",VLOOKUP(B236,'[2]Rank'!$A$3:$D$300,3),")")),"")</f>
        <v>bye</v>
      </c>
      <c r="D236" s="188"/>
      <c r="E236" s="54">
        <f>IF($B234="","",IF($B236="","",IF('[2]I.st-výs-KO'!$P58="","",'[2]I.st-výs-KO'!$S58)))</f>
      </c>
      <c r="F236" s="56"/>
      <c r="G236" s="67"/>
      <c r="H236" s="68"/>
    </row>
    <row r="237" spans="1:8" ht="12.75">
      <c r="A237" s="27"/>
      <c r="B237" s="27"/>
      <c r="C237" s="68"/>
      <c r="D237" s="68"/>
      <c r="E237" s="189">
        <f>IF('[2]copy_before_draw_I_st'!$F$1&gt;64,93,"")</f>
        <v>93</v>
      </c>
      <c r="F237" s="40" t="str">
        <f>IF($E$237=93,IF('[2]I.st-výs-KO'!$Q95="","",'[2]I.st-výs-KO'!$Q95),"")</f>
        <v>Stránský Matěj</v>
      </c>
      <c r="G237" s="67"/>
      <c r="H237" s="68"/>
    </row>
    <row r="238" spans="1:8" ht="12.75">
      <c r="A238" s="27">
        <f>IF('[2]copy_before_draw_I_st'!$F$1&gt;64,115,"")</f>
        <v>115</v>
      </c>
      <c r="B238" s="66">
        <f>IF('[2]copy_I.st_KO_afterdraw'!$C$121="","",'[2]copy_I.st_KO_afterdraw'!$C$121)</f>
        <v>87</v>
      </c>
      <c r="C238" s="27" t="str">
        <f>IF($A$202=97,IF(B238="","bye",CONCATENATE(VLOOKUP(B238,'[2]Rank'!$A$3:$D$300,2),"  (",VLOOKUP(B238,'[2]Rank'!$A$3:$D$300,3),")")),"")</f>
        <v>Bako Adam  (TJ Lanškroun)</v>
      </c>
      <c r="D238" s="51"/>
      <c r="E238" s="189"/>
      <c r="F238" s="40" t="str">
        <f>IF($E$237=93,IF('[2]I.st-výs-KO'!$P95="","",'[2]I.st-výs-KO'!$S95),"")</f>
        <v>3:2 (7,-9,10,-9,6)</v>
      </c>
      <c r="G238" s="67"/>
      <c r="H238" s="68"/>
    </row>
    <row r="239" spans="1:8" ht="12.75">
      <c r="A239" s="27"/>
      <c r="B239" s="27"/>
      <c r="C239" s="27"/>
      <c r="D239" s="188">
        <f>IF('[2]copy_before_draw_I_st'!$F$1&gt;64,58,"")</f>
        <v>58</v>
      </c>
      <c r="E239" s="54" t="str">
        <f>IF(OR($B238="",$B240=""),IF($B238="",IF($B240="","",'[2]I.st-výs-KO'!$F59),'[2]I.st-výs-KO'!$C59),'[2]I.st-výs-KO'!$Q59)</f>
        <v>Bako Adam</v>
      </c>
      <c r="F239" s="56"/>
      <c r="G239" s="67"/>
      <c r="H239" s="68"/>
    </row>
    <row r="240" spans="1:8" ht="12.75">
      <c r="A240" s="27">
        <f>IF('[2]copy_before_draw_I_st'!$F$1&gt;64,116,"")</f>
        <v>116</v>
      </c>
      <c r="B240" s="66">
        <f>IF('[2]copy_I.st_KO_afterdraw'!$C$122="","",'[2]copy_I.st_KO_afterdraw'!$C$122)</f>
        <v>198</v>
      </c>
      <c r="C240" s="38" t="str">
        <f>IF($A$202=97,IF(B240="","bye",CONCATENATE(VLOOKUP(B240,'[2]Rank'!$A$3:$D$300,2),"  (",VLOOKUP(B240,'[2]Rank'!$A$3:$D$300,3),")")),"")</f>
        <v>Kučera Ondřej  (KST Dolní Němčí)</v>
      </c>
      <c r="D240" s="188"/>
      <c r="E240" s="54" t="str">
        <f>IF($B238="","",IF($B240="","",IF('[2]I.st-výs-KO'!$P59="","",'[2]I.st-výs-KO'!$S59)))</f>
        <v>wo</v>
      </c>
      <c r="F240" s="56"/>
      <c r="G240" s="67"/>
      <c r="H240" s="68"/>
    </row>
    <row r="241" spans="1:8" ht="12.75">
      <c r="A241" s="27"/>
      <c r="B241" s="27"/>
      <c r="C241" s="27"/>
      <c r="D241" s="51"/>
      <c r="E241" s="27"/>
      <c r="F241" s="190">
        <f>IF(AND('[2]Turnaj'!$L$10=16,'[2]copy_before_draw_I_st'!$F$1&gt;64),111,IF(AND('[2]Turnaj'!$L$10=8,'[2]copy_before_draw_I_st'!$F$1&gt;64),111,""))</f>
        <v>111</v>
      </c>
      <c r="G241" s="67" t="str">
        <f>IF($F$241=111,IF('[2]I.st-výs-KO'!$Q114="","",'[2]I.st-výs-KO'!$Q114),"")</f>
        <v>Stránský Matěj</v>
      </c>
      <c r="H241" s="68"/>
    </row>
    <row r="242" spans="1:8" ht="12.75">
      <c r="A242" s="27">
        <f>IF('[2]copy_before_draw_I_st'!$F$1&gt;64,117,"")</f>
        <v>117</v>
      </c>
      <c r="B242" s="66">
        <f>IF('[2]copy_I.st_KO_afterdraw'!$C$123="","",'[2]copy_I.st_KO_afterdraw'!$C$123)</f>
        <v>65</v>
      </c>
      <c r="C242" s="38" t="str">
        <f>IF($A$202=97,IF(B242="","bye",CONCATENATE(VLOOKUP(B242,'[2]Rank'!$A$3:$D$300,2),"  (",VLOOKUP(B242,'[2]Rank'!$A$3:$D$300,3),")")),"")</f>
        <v>Zukal Adam  (KST Blansko)</v>
      </c>
      <c r="D242" s="51"/>
      <c r="E242" s="27"/>
      <c r="F242" s="190"/>
      <c r="G242" s="67" t="str">
        <f>IF($F$241=111,IF('[2]I.st-výs-KO'!$P114="","",'[2]I.st-výs-KO'!$S114),"")</f>
        <v>3:1 (6,9,-6,9)</v>
      </c>
      <c r="H242" s="68"/>
    </row>
    <row r="243" spans="1:8" ht="12.75">
      <c r="A243" s="27"/>
      <c r="B243" s="27"/>
      <c r="C243" s="27"/>
      <c r="D243" s="188">
        <f>IF('[2]copy_before_draw_I_st'!$F$1&gt;64,59,"")</f>
        <v>59</v>
      </c>
      <c r="E243" s="54" t="str">
        <f>IF(OR($B242="",$B244=""),IF($B242="",IF($B244="","",'[2]I.st-výs-KO'!$F60),'[2]I.st-výs-KO'!$C60),'[2]I.st-výs-KO'!$Q60)</f>
        <v>Zukal Adam</v>
      </c>
      <c r="F243" s="56"/>
      <c r="G243" s="67"/>
      <c r="H243" s="68"/>
    </row>
    <row r="244" spans="1:8" ht="12.75">
      <c r="A244" s="27">
        <f>IF('[2]copy_before_draw_I_st'!$F$1&gt;64,118,"")</f>
        <v>118</v>
      </c>
      <c r="B244" s="66">
        <f>IF('[2]copy_I.st_KO_afterdraw'!$C$124="","",'[2]copy_I.st_KO_afterdraw'!$C$124)</f>
        <v>178</v>
      </c>
      <c r="C244" s="27" t="str">
        <f>IF($A$202=97,IF(B244="","bye",CONCATENATE(VLOOKUP(B244,'[2]Rank'!$A$3:$D$300,2),"  (",VLOOKUP(B244,'[2]Rank'!$A$3:$D$300,3),")")),"")</f>
        <v>Ondráček Jan  (TJ Sokol Studená)</v>
      </c>
      <c r="D244" s="188"/>
      <c r="E244" s="54" t="str">
        <f>IF($B242="","",IF($B244="","",IF('[2]I.st-výs-KO'!$P60="","",'[2]I.st-výs-KO'!$S60)))</f>
        <v>3:0 (6,4,9)</v>
      </c>
      <c r="F244" s="56"/>
      <c r="G244" s="67"/>
      <c r="H244" s="68"/>
    </row>
    <row r="245" spans="1:8" ht="12.75">
      <c r="A245" s="27"/>
      <c r="B245" s="27"/>
      <c r="C245" s="27"/>
      <c r="D245" s="51"/>
      <c r="E245" s="189">
        <f>IF('[2]copy_before_draw_I_st'!$F$1&gt;64,94,"")</f>
        <v>94</v>
      </c>
      <c r="F245" s="40" t="str">
        <f>IF($E$245=94,IF('[2]I.st-výs-KO'!$Q96="","",'[2]I.st-výs-KO'!$Q96),"")</f>
        <v>Zukal Adam</v>
      </c>
      <c r="G245" s="67"/>
      <c r="H245" s="68"/>
    </row>
    <row r="246" spans="1:8" ht="12.75">
      <c r="A246" s="27">
        <f>IF('[2]copy_before_draw_I_st'!$F$1&gt;64,119,"")</f>
        <v>119</v>
      </c>
      <c r="B246" s="66">
        <f>IF('[2]copy_I.st_KO_afterdraw'!$C$125="","",'[2]copy_I.st_KO_afterdraw'!$C$125)</f>
      </c>
      <c r="C246" s="27" t="str">
        <f>IF($A$202=97,IF(B246="","bye",CONCATENATE(VLOOKUP(B246,'[2]Rank'!$A$3:$D$300,2),"  (",VLOOKUP(B246,'[2]Rank'!$A$3:$D$300,3),")")),"")</f>
        <v>bye</v>
      </c>
      <c r="D246" s="51"/>
      <c r="E246" s="189"/>
      <c r="F246" s="40" t="str">
        <f>IF($E$245=94,IF('[2]I.st-výs-KO'!$P96="","",'[2]I.st-výs-KO'!$S96),"")</f>
        <v>3:2 (-1,-6,10,9,8)</v>
      </c>
      <c r="G246" s="67"/>
      <c r="H246" s="68"/>
    </row>
    <row r="247" spans="1:8" ht="12.75">
      <c r="A247" s="27"/>
      <c r="B247" s="27"/>
      <c r="C247" s="27"/>
      <c r="D247" s="188">
        <f>IF('[2]copy_before_draw_I_st'!$F$1&gt;64,60,"")</f>
        <v>60</v>
      </c>
      <c r="E247" s="54" t="str">
        <f>IF(OR($B246="",$B248=""),IF($B246="",IF($B248="","",'[2]I.st-výs-KO'!$F61),'[2]I.st-výs-KO'!$C61),'[2]I.st-výs-KO'!$Q61)</f>
        <v>Březovský Petr</v>
      </c>
      <c r="F247" s="56"/>
      <c r="G247" s="67"/>
      <c r="H247" s="68"/>
    </row>
    <row r="248" spans="1:8" ht="12.75">
      <c r="A248" s="27">
        <f>IF('[2]copy_before_draw_I_st'!$F$1&gt;64,120,"")</f>
        <v>120</v>
      </c>
      <c r="B248" s="66">
        <f>IF('[2]copy_I.st_KO_afterdraw'!$C$126="","",'[2]copy_I.st_KO_afterdraw'!$C$126)</f>
        <v>55</v>
      </c>
      <c r="C248" s="38" t="str">
        <f>IF($A$202=97,IF(B248="","bye",CONCATENATE(VLOOKUP(B248,'[2]Rank'!$A$3:$D$300,2),"  (",VLOOKUP(B248,'[2]Rank'!$A$3:$D$300,3),")")),"")</f>
        <v>Březovský Petr  (TTC Litoměřice)</v>
      </c>
      <c r="D248" s="188"/>
      <c r="E248" s="54">
        <f>IF($B246="","",IF($B248="","",IF('[2]I.st-výs-KO'!$P61="","",'[2]I.st-výs-KO'!$S61)))</f>
      </c>
      <c r="F248" s="56"/>
      <c r="G248" s="67"/>
      <c r="H248" s="68"/>
    </row>
    <row r="249" spans="1:8" ht="12.75">
      <c r="A249" s="27"/>
      <c r="B249" s="27"/>
      <c r="C249" s="27"/>
      <c r="D249" s="51"/>
      <c r="E249" s="27"/>
      <c r="F249" s="56"/>
      <c r="G249" s="190">
        <f>IF(AND('[2]Turnaj'!$L$10=8,'[2]copy_before_draw_I_st'!$F$1&gt;64),120,"")</f>
      </c>
      <c r="H249" s="67">
        <f>IF($G$249=120,IF('[2]I.st-výs-KO'!$Q124="","",'[2]I.st-výs-KO'!$Q124),"")</f>
      </c>
    </row>
    <row r="250" spans="1:8" ht="12.75">
      <c r="A250" s="27">
        <f>IF('[2]copy_before_draw_I_st'!$F$1&gt;64,121,"")</f>
        <v>121</v>
      </c>
      <c r="B250" s="66">
        <f>IF('[2]copy_I.st_KO_afterdraw'!$C$127="","",'[2]copy_I.st_KO_afterdraw'!$C$127)</f>
        <v>59</v>
      </c>
      <c r="C250" s="38" t="str">
        <f>IF($A$202=97,IF(B250="","bye",CONCATENATE(VLOOKUP(B250,'[2]Rank'!$A$3:$D$300,2),"  (",VLOOKUP(B250,'[2]Rank'!$A$3:$D$300,3),")")),"")</f>
        <v>Oharek David  (KST Zlín)</v>
      </c>
      <c r="D250" s="51"/>
      <c r="E250" s="27"/>
      <c r="F250" s="56"/>
      <c r="G250" s="190"/>
      <c r="H250" s="67">
        <f>IF($G$249=120,IF('[2]I.st-výs-KO'!$P124="","",'[2]I.st-výs-KO'!$S124),"")</f>
      </c>
    </row>
    <row r="251" spans="1:8" ht="12.75">
      <c r="A251" s="27"/>
      <c r="B251" s="27"/>
      <c r="C251" s="27"/>
      <c r="D251" s="188">
        <f>IF('[2]copy_before_draw_I_st'!$F$1&gt;64,61,"")</f>
        <v>61</v>
      </c>
      <c r="E251" s="54" t="str">
        <f>IF(OR($B250="",$B252=""),IF($B250="",IF($B252="","",'[2]I.st-výs-KO'!$F62),'[2]I.st-výs-KO'!$C62),'[2]I.st-výs-KO'!$Q62)</f>
        <v>Oharek David</v>
      </c>
      <c r="F251" s="56"/>
      <c r="G251" s="67"/>
      <c r="H251" s="68"/>
    </row>
    <row r="252" spans="1:8" ht="12.75">
      <c r="A252" s="27">
        <f>IF('[2]copy_before_draw_I_st'!$F$1&gt;64,122,"")</f>
        <v>122</v>
      </c>
      <c r="B252" s="66">
        <f>IF('[2]copy_I.st_KO_afterdraw'!$C$128="","",'[2]copy_I.st_KO_afterdraw'!$C$128)</f>
      </c>
      <c r="C252" s="27" t="str">
        <f>IF($A$202=97,IF(B252="","bye",CONCATENATE(VLOOKUP(B252,'[2]Rank'!$A$3:$D$300,2),"  (",VLOOKUP(B252,'[2]Rank'!$A$3:$D$300,3),")")),"")</f>
        <v>bye</v>
      </c>
      <c r="D252" s="188"/>
      <c r="E252" s="54">
        <f>IF($B250="","",IF($B252="","",IF('[2]I.st-výs-KO'!$P62="","",'[2]I.st-výs-KO'!$S62)))</f>
      </c>
      <c r="F252" s="56"/>
      <c r="G252" s="67"/>
      <c r="H252" s="68"/>
    </row>
    <row r="253" spans="1:8" ht="12.75">
      <c r="A253" s="27"/>
      <c r="B253" s="27"/>
      <c r="C253" s="27"/>
      <c r="D253" s="51"/>
      <c r="E253" s="189">
        <f>IF('[2]copy_before_draw_I_st'!$F$1&gt;64,95,"")</f>
        <v>95</v>
      </c>
      <c r="F253" s="40" t="str">
        <f>IF($E$253=95,IF('[2]I.st-výs-KO'!$Q97="","",'[2]I.st-výs-KO'!$Q97),"")</f>
        <v>Jakubský Filip</v>
      </c>
      <c r="G253" s="67"/>
      <c r="H253" s="68"/>
    </row>
    <row r="254" spans="1:8" ht="12.75">
      <c r="A254" s="27">
        <f>IF('[2]copy_before_draw_I_st'!$F$1&gt;64,123,"")</f>
        <v>123</v>
      </c>
      <c r="B254" s="66">
        <f>IF('[2]copy_I.st_KO_afterdraw'!$C$129="","",'[2]copy_I.st_KO_afterdraw'!$C$129)</f>
        <v>187</v>
      </c>
      <c r="C254" s="27" t="str">
        <f>IF($A$202=97,IF(B254="","bye",CONCATENATE(VLOOKUP(B254,'[2]Rank'!$A$3:$D$300,2),"  (",VLOOKUP(B254,'[2]Rank'!$A$3:$D$300,3),")")),"")</f>
        <v>Vaněk Petr  (TJ Slavoj Praha)</v>
      </c>
      <c r="D254" s="51"/>
      <c r="E254" s="189"/>
      <c r="F254" s="40" t="str">
        <f>IF($E$253=95,IF('[2]I.st-výs-KO'!$P97="","",'[2]I.st-výs-KO'!$S97),"")</f>
        <v>3:2 (-7,-6,7,7,3)</v>
      </c>
      <c r="G254" s="67"/>
      <c r="H254" s="68"/>
    </row>
    <row r="255" spans="1:8" ht="12.75">
      <c r="A255" s="27"/>
      <c r="B255" s="27"/>
      <c r="C255" s="27"/>
      <c r="D255" s="188">
        <f>IF('[2]copy_before_draw_I_st'!$F$1&gt;64,62,"")</f>
        <v>62</v>
      </c>
      <c r="E255" s="54" t="str">
        <f>IF(OR($B254="",$B256=""),IF($B254="",IF($B256="","",'[2]I.st-výs-KO'!$F63),'[2]I.st-výs-KO'!$C63),'[2]I.st-výs-KO'!$Q63)</f>
        <v>Jakubský Filip</v>
      </c>
      <c r="F255" s="56"/>
      <c r="G255" s="67"/>
      <c r="H255" s="68"/>
    </row>
    <row r="256" spans="1:8" ht="12.75">
      <c r="A256" s="27">
        <f>IF('[2]copy_before_draw_I_st'!$F$1&gt;64,124,"")</f>
        <v>124</v>
      </c>
      <c r="B256" s="66">
        <f>IF('[2]copy_I.st_KO_afterdraw'!$C$130="","",'[2]copy_I.st_KO_afterdraw'!$C$130)</f>
        <v>108</v>
      </c>
      <c r="C256" s="38" t="str">
        <f>IF($A$202=97,IF(B256="","bye",CONCATENATE(VLOOKUP(B256,'[2]Rank'!$A$3:$D$300,2),"  (",VLOOKUP(B256,'[2]Rank'!$A$3:$D$300,3),")")),"")</f>
        <v>Jakubský Filip  (TJ Sokol PP Hradec Králové 2)</v>
      </c>
      <c r="D256" s="188"/>
      <c r="E256" s="54" t="str">
        <f>IF($B254="","",IF($B256="","",IF('[2]I.st-výs-KO'!$P63="","",'[2]I.st-výs-KO'!$S63)))</f>
        <v>3:0 (5,9,2)</v>
      </c>
      <c r="F256" s="56"/>
      <c r="G256" s="67"/>
      <c r="H256" s="68"/>
    </row>
    <row r="257" spans="1:8" ht="12.75">
      <c r="A257" s="27"/>
      <c r="B257" s="27"/>
      <c r="C257" s="27"/>
      <c r="D257" s="51"/>
      <c r="E257" s="27"/>
      <c r="F257" s="190">
        <f>IF(AND('[2]Turnaj'!$L$10=16,'[2]copy_before_draw_I_st'!$F$1&gt;64),112,IF(AND('[2]Turnaj'!$L$10=8,'[2]copy_before_draw_I_st'!$F$1&gt;64),112,""))</f>
        <v>112</v>
      </c>
      <c r="G257" s="67" t="str">
        <f>IF($F$257=112,IF('[2]I.st-výs-KO'!$Q115="","",'[2]I.st-výs-KO'!$Q115),"")</f>
        <v>Hromek Filip</v>
      </c>
      <c r="H257" s="68"/>
    </row>
    <row r="258" spans="1:8" ht="12.75">
      <c r="A258" s="27">
        <f>IF('[2]copy_before_draw_I_st'!$F$1&gt;64,125,"")</f>
        <v>125</v>
      </c>
      <c r="B258" s="66">
        <f>IF('[2]copy_I.st_KO_afterdraw'!$C$131="","",'[2]copy_I.st_KO_afterdraw'!$C$131)</f>
        <v>191</v>
      </c>
      <c r="C258" s="38" t="str">
        <f>IF($A$202=97,IF(B258="","bye",CONCATENATE(VLOOKUP(B258,'[2]Rank'!$A$3:$D$300,2),"  (",VLOOKUP(B258,'[2]Rank'!$A$3:$D$300,3),")")),"")</f>
        <v>Bruckner Tomáš  (MSK Břeclav)</v>
      </c>
      <c r="D258" s="51"/>
      <c r="E258" s="27"/>
      <c r="F258" s="190"/>
      <c r="G258" s="67" t="str">
        <f>IF($F$257=112,IF('[2]I.st-výs-KO'!$P115="","",'[2]I.st-výs-KO'!$S115),"")</f>
        <v>3:0 (11,8,10)</v>
      </c>
      <c r="H258" s="68"/>
    </row>
    <row r="259" spans="1:8" ht="12.75">
      <c r="A259" s="27"/>
      <c r="B259" s="27"/>
      <c r="C259" s="27"/>
      <c r="D259" s="188">
        <f>IF('[2]copy_before_draw_I_st'!$F$1&gt;64,63,"")</f>
        <v>63</v>
      </c>
      <c r="E259" s="54" t="str">
        <f>IF(OR($B258="",$B260=""),IF($B258="",IF($B260="","",'[2]I.st-výs-KO'!$F64),'[2]I.st-výs-KO'!$C64),'[2]I.st-výs-KO'!$Q64)</f>
        <v>Novotný Petr</v>
      </c>
      <c r="F259" s="56"/>
      <c r="G259" s="67"/>
      <c r="H259" s="68"/>
    </row>
    <row r="260" spans="1:8" ht="12.75">
      <c r="A260" s="27">
        <f>IF('[2]copy_before_draw_I_st'!$F$1&gt;64,126,"")</f>
        <v>126</v>
      </c>
      <c r="B260" s="66">
        <f>IF('[2]copy_I.st_KO_afterdraw'!$C$132="","",'[2]copy_I.st_KO_afterdraw'!$C$132)</f>
        <v>89</v>
      </c>
      <c r="C260" s="27" t="str">
        <f>IF($A$202=97,IF(B260="","bye",CONCATENATE(VLOOKUP(B260,'[2]Rank'!$A$3:$D$300,2),"  (",VLOOKUP(B260,'[2]Rank'!$A$3:$D$300,3),")")),"")</f>
        <v>Novotný Petr  (DDM Soběslav)</v>
      </c>
      <c r="D260" s="188"/>
      <c r="E260" s="54" t="str">
        <f>IF($B258="","",IF($B260="","",IF('[2]I.st-výs-KO'!$P64="","",'[2]I.st-výs-KO'!$S64)))</f>
        <v>3:1 (4,-3,5,7)</v>
      </c>
      <c r="F260" s="56"/>
      <c r="G260" s="67"/>
      <c r="H260" s="68"/>
    </row>
    <row r="261" spans="1:8" ht="12.75">
      <c r="A261" s="27"/>
      <c r="B261" s="27"/>
      <c r="C261" s="27"/>
      <c r="D261" s="51"/>
      <c r="E261" s="189">
        <f>IF('[2]copy_before_draw_I_st'!$F$1&gt;64,96,"")</f>
        <v>96</v>
      </c>
      <c r="F261" s="40" t="str">
        <f>IF($E$261=96,IF('[2]I.st-výs-KO'!$Q98="","",'[2]I.st-výs-KO'!$Q98),"")</f>
        <v>Hromek Filip</v>
      </c>
      <c r="G261" s="67"/>
      <c r="H261" s="68"/>
    </row>
    <row r="262" spans="1:8" ht="12.75">
      <c r="A262" s="27">
        <f>IF('[2]copy_before_draw_I_st'!$F$1&gt;64,127,"")</f>
        <v>127</v>
      </c>
      <c r="B262" s="66">
        <f>IF('[2]copy_I.st_KO_afterdraw'!$C$133="","",'[2]copy_I.st_KO_afterdraw'!$C$133)</f>
      </c>
      <c r="C262" s="27" t="str">
        <f>IF($A$202=97,IF(B262="","bye",CONCATENATE(VLOOKUP(B262,'[2]Rank'!$A$3:$D$300,2),"  (",VLOOKUP(B262,'[2]Rank'!$A$3:$D$300,3),")")),"")</f>
        <v>bye</v>
      </c>
      <c r="D262" s="51"/>
      <c r="E262" s="189"/>
      <c r="F262" s="40" t="str">
        <f>IF($E$261=96,IF('[2]I.st-výs-KO'!$P98="","",'[2]I.st-výs-KO'!$S98),"")</f>
        <v>3:0 (6,7,10)</v>
      </c>
      <c r="G262" s="67"/>
      <c r="H262" s="68"/>
    </row>
    <row r="263" spans="1:8" ht="12.75">
      <c r="A263" s="27"/>
      <c r="B263" s="27"/>
      <c r="C263" s="27"/>
      <c r="D263" s="188">
        <f>IF('[2]copy_before_draw_I_st'!$F$1&gt;64,64,"")</f>
        <v>64</v>
      </c>
      <c r="E263" s="54" t="str">
        <f>IF(OR($B262="",$B264=""),IF($B262="",IF($B264="","",'[2]I.st-výs-KO'!$F65),'[2]I.st-výs-KO'!$C65),'[2]I.st-výs-KO'!$Q65)</f>
        <v>Hromek Filip</v>
      </c>
      <c r="F263" s="56"/>
      <c r="G263" s="67"/>
      <c r="H263" s="68"/>
    </row>
    <row r="264" spans="1:8" ht="12.75">
      <c r="A264" s="27">
        <f>IF('[2]copy_before_draw_I_st'!$F$1&gt;64,128,"")</f>
        <v>128</v>
      </c>
      <c r="B264" s="66">
        <f>IF('[2]copy_I.st_KO_afterdraw'!$C$134="","",'[2]copy_I.st_KO_afterdraw'!$C$134)</f>
        <v>23</v>
      </c>
      <c r="C264" s="38" t="str">
        <f>IF($A$202=97,IF(B264="","bye",CONCATENATE(VLOOKUP(B264,'[2]Rank'!$A$3:$D$300,2),"  (",VLOOKUP(B264,'[2]Rank'!$A$3:$D$300,3),")")),"")</f>
        <v>Hromek Filip  (SKST Hodonín)</v>
      </c>
      <c r="D264" s="188"/>
      <c r="E264" s="54">
        <f>IF($B262="","",IF($B264="","",IF('[2]I.st-výs-KO'!$P65="","",'[2]I.st-výs-KO'!$S65)))</f>
      </c>
      <c r="F264" s="56"/>
      <c r="G264" s="67"/>
      <c r="H264" s="68"/>
    </row>
  </sheetData>
  <sheetProtection sheet="1"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139:E140"/>
    <mergeCell ref="D141:D142"/>
    <mergeCell ref="F143:F144"/>
    <mergeCell ref="D145:D146"/>
    <mergeCell ref="E97:E98"/>
    <mergeCell ref="D99:D100"/>
    <mergeCell ref="D103:D104"/>
    <mergeCell ref="E105:E106"/>
    <mergeCell ref="D107:D108"/>
    <mergeCell ref="F109:F110"/>
    <mergeCell ref="F175:F176"/>
    <mergeCell ref="D177:D178"/>
    <mergeCell ref="D123:D124"/>
    <mergeCell ref="F125:F126"/>
    <mergeCell ref="D127:D128"/>
    <mergeCell ref="E129:E130"/>
    <mergeCell ref="D131:D132"/>
    <mergeCell ref="A133:H133"/>
    <mergeCell ref="A134:H134"/>
    <mergeCell ref="D137:D138"/>
    <mergeCell ref="D161:D162"/>
    <mergeCell ref="E163:E164"/>
    <mergeCell ref="D165:D166"/>
    <mergeCell ref="D169:D170"/>
    <mergeCell ref="E171:E172"/>
    <mergeCell ref="D173:D174"/>
    <mergeCell ref="D193:D194"/>
    <mergeCell ref="E195:E196"/>
    <mergeCell ref="E147:E148"/>
    <mergeCell ref="D149:D150"/>
    <mergeCell ref="G151:G152"/>
    <mergeCell ref="D153:D154"/>
    <mergeCell ref="E155:E156"/>
    <mergeCell ref="D157:D158"/>
    <mergeCell ref="G183:G184"/>
    <mergeCell ref="F159:F160"/>
    <mergeCell ref="E179:E180"/>
    <mergeCell ref="D181:D182"/>
    <mergeCell ref="F209:F210"/>
    <mergeCell ref="D211:D212"/>
    <mergeCell ref="E213:E214"/>
    <mergeCell ref="D215:D216"/>
    <mergeCell ref="D185:D186"/>
    <mergeCell ref="E187:E188"/>
    <mergeCell ref="D189:D190"/>
    <mergeCell ref="F191:F192"/>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18" dxfId="884" stopIfTrue="1">
      <formula>$G$19=113</formula>
    </cfRule>
  </conditionalFormatting>
  <conditionalFormatting sqref="H44:H50 H52:H59">
    <cfRule type="expression" priority="117" dxfId="884" stopIfTrue="1">
      <formula>$G$51=114</formula>
    </cfRule>
  </conditionalFormatting>
  <conditionalFormatting sqref="H78:H84 H86:H93">
    <cfRule type="expression" priority="116" dxfId="884" stopIfTrue="1">
      <formula>$G$85=115</formula>
    </cfRule>
  </conditionalFormatting>
  <conditionalFormatting sqref="H110:H116 H118:H125">
    <cfRule type="expression" priority="115" dxfId="884" stopIfTrue="1">
      <formula>$G$117=116</formula>
    </cfRule>
  </conditionalFormatting>
  <conditionalFormatting sqref="H144:H150 H152:H159">
    <cfRule type="expression" priority="114" dxfId="884" stopIfTrue="1">
      <formula>$G$151=117</formula>
    </cfRule>
  </conditionalFormatting>
  <conditionalFormatting sqref="H176:H182 H184:H191">
    <cfRule type="expression" priority="113" dxfId="884" stopIfTrue="1">
      <formula>$G$183=118</formula>
    </cfRule>
  </conditionalFormatting>
  <conditionalFormatting sqref="H242:H248 H250:H257">
    <cfRule type="expression" priority="112" dxfId="884" stopIfTrue="1">
      <formula>$G$249=120</formula>
    </cfRule>
  </conditionalFormatting>
  <conditionalFormatting sqref="H19">
    <cfRule type="expression" priority="111" dxfId="885" stopIfTrue="1">
      <formula>$G$19=113</formula>
    </cfRule>
  </conditionalFormatting>
  <conditionalFormatting sqref="H51">
    <cfRule type="expression" priority="110" dxfId="885" stopIfTrue="1">
      <formula>$G$51=114</formula>
    </cfRule>
  </conditionalFormatting>
  <conditionalFormatting sqref="H85">
    <cfRule type="expression" priority="109" dxfId="885" stopIfTrue="1">
      <formula>$G$85=115</formula>
    </cfRule>
  </conditionalFormatting>
  <conditionalFormatting sqref="H117">
    <cfRule type="expression" priority="108" dxfId="885" stopIfTrue="1">
      <formula>$G$117=116</formula>
    </cfRule>
  </conditionalFormatting>
  <conditionalFormatting sqref="H210:H216 H218:H225">
    <cfRule type="expression" priority="107" dxfId="884" stopIfTrue="1">
      <formula>$G$217=119</formula>
    </cfRule>
  </conditionalFormatting>
  <conditionalFormatting sqref="G8:G10 G12:G15">
    <cfRule type="expression" priority="106" dxfId="884" stopIfTrue="1">
      <formula>$F$11=97</formula>
    </cfRule>
  </conditionalFormatting>
  <conditionalFormatting sqref="G24:G26 G28:G31">
    <cfRule type="expression" priority="105" dxfId="884" stopIfTrue="1">
      <formula>$F$27=98</formula>
    </cfRule>
  </conditionalFormatting>
  <conditionalFormatting sqref="G40:G42 G44:G47">
    <cfRule type="expression" priority="104" dxfId="884" stopIfTrue="1">
      <formula>$F$43=99</formula>
    </cfRule>
  </conditionalFormatting>
  <conditionalFormatting sqref="G56:G58 G60:G63">
    <cfRule type="expression" priority="103" dxfId="884" stopIfTrue="1">
      <formula>$F$59=100</formula>
    </cfRule>
  </conditionalFormatting>
  <conditionalFormatting sqref="G74:G76 G78:G81">
    <cfRule type="expression" priority="102" dxfId="884" stopIfTrue="1">
      <formula>$F$77=101</formula>
    </cfRule>
  </conditionalFormatting>
  <conditionalFormatting sqref="G90:G92 G94:G97">
    <cfRule type="expression" priority="101" dxfId="884" stopIfTrue="1">
      <formula>$F$93=102</formula>
    </cfRule>
  </conditionalFormatting>
  <conditionalFormatting sqref="G106:G108 G110:G113">
    <cfRule type="expression" priority="100" dxfId="884" stopIfTrue="1">
      <formula>$F$109=103</formula>
    </cfRule>
  </conditionalFormatting>
  <conditionalFormatting sqref="G122:G124 G126:G129">
    <cfRule type="expression" priority="99" dxfId="884" stopIfTrue="1">
      <formula>$F$125=104</formula>
    </cfRule>
  </conditionalFormatting>
  <conditionalFormatting sqref="F10:F14">
    <cfRule type="expression" priority="98" dxfId="886" stopIfTrue="1">
      <formula>$F$11=49</formula>
    </cfRule>
  </conditionalFormatting>
  <conditionalFormatting sqref="F8:F9">
    <cfRule type="expression" priority="96" dxfId="886" stopIfTrue="1">
      <formula>$F$11=49</formula>
    </cfRule>
    <cfRule type="expression" priority="97" dxfId="884" stopIfTrue="1">
      <formula>$E$7=33</formula>
    </cfRule>
  </conditionalFormatting>
  <conditionalFormatting sqref="F24:F30">
    <cfRule type="expression" priority="95" dxfId="886" stopIfTrue="1">
      <formula>$F$27=50</formula>
    </cfRule>
  </conditionalFormatting>
  <conditionalFormatting sqref="F40:F46">
    <cfRule type="expression" priority="94" dxfId="886" stopIfTrue="1">
      <formula>$F$43=51</formula>
    </cfRule>
  </conditionalFormatting>
  <conditionalFormatting sqref="F56:F62">
    <cfRule type="expression" priority="93" dxfId="887" stopIfTrue="1">
      <formula>$F$59=52</formula>
    </cfRule>
  </conditionalFormatting>
  <conditionalFormatting sqref="F74:F80">
    <cfRule type="expression" priority="92" dxfId="886" stopIfTrue="1">
      <formula>$F$77=53</formula>
    </cfRule>
  </conditionalFormatting>
  <conditionalFormatting sqref="F90:F96">
    <cfRule type="expression" priority="91" dxfId="886" stopIfTrue="1">
      <formula>$F$93=54</formula>
    </cfRule>
  </conditionalFormatting>
  <conditionalFormatting sqref="F106:F112">
    <cfRule type="expression" priority="90" dxfId="886" stopIfTrue="1">
      <formula>$F$109=55</formula>
    </cfRule>
  </conditionalFormatting>
  <conditionalFormatting sqref="F122:F128">
    <cfRule type="expression" priority="89" dxfId="887"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888"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889"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333" stopIfTrue="1">
      <formula>$A$136=65</formula>
    </cfRule>
  </conditionalFormatting>
  <conditionalFormatting sqref="E138:E140 E146:E148 E154:E156 F140:F146 F156:F162 E162:E164 E170:E172 F172:F178 E178:E180 E186:E188 F188:F194 E194:E196">
    <cfRule type="expression" priority="85" dxfId="886"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33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888"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889" stopIfTrue="1">
      <formula>$A$202=97</formula>
    </cfRule>
  </conditionalFormatting>
  <conditionalFormatting sqref="E204:E206 F206:F212 E212:E214 E220:E222 E228:E230 F222:F228 E236:E238 E244:E246 F238:F244 E252:E254 E260:E262 F254:F260">
    <cfRule type="expression" priority="81" dxfId="886" stopIfTrue="1">
      <formula>$A$202=97</formula>
    </cfRule>
  </conditionalFormatting>
  <conditionalFormatting sqref="A199:H199">
    <cfRule type="expression" priority="80" dxfId="11" stopIfTrue="1">
      <formula>$A$202=97</formula>
    </cfRule>
  </conditionalFormatting>
  <conditionalFormatting sqref="A133:H133">
    <cfRule type="expression" priority="79" dxfId="11" stopIfTrue="1">
      <formula>$A$136=65</formula>
    </cfRule>
  </conditionalFormatting>
  <conditionalFormatting sqref="H151">
    <cfRule type="expression" priority="78" dxfId="890" stopIfTrue="1">
      <formula>$G$151=117</formula>
    </cfRule>
  </conditionalFormatting>
  <conditionalFormatting sqref="H183">
    <cfRule type="expression" priority="77" dxfId="890" stopIfTrue="1">
      <formula>$G$183=118</formula>
    </cfRule>
  </conditionalFormatting>
  <conditionalFormatting sqref="H217">
    <cfRule type="expression" priority="76" dxfId="890" stopIfTrue="1">
      <formula>$G$217=119</formula>
    </cfRule>
  </conditionalFormatting>
  <conditionalFormatting sqref="H249">
    <cfRule type="expression" priority="75" dxfId="890" stopIfTrue="1">
      <formula>$G$249=120</formula>
    </cfRule>
  </conditionalFormatting>
  <conditionalFormatting sqref="G11">
    <cfRule type="expression" priority="72" dxfId="891" stopIfTrue="1">
      <formula>$G$19=113</formula>
    </cfRule>
    <cfRule type="expression" priority="73" dxfId="890" stopIfTrue="1">
      <formula>$F$11=97</formula>
    </cfRule>
    <cfRule type="expression" priority="74" dxfId="892" stopIfTrue="1">
      <formula>$F$11=49</formula>
    </cfRule>
  </conditionalFormatting>
  <conditionalFormatting sqref="G27">
    <cfRule type="expression" priority="69" dxfId="891" stopIfTrue="1">
      <formula>$G$19=113</formula>
    </cfRule>
    <cfRule type="expression" priority="70" dxfId="890" stopIfTrue="1">
      <formula>$F$27=98</formula>
    </cfRule>
    <cfRule type="expression" priority="71" dxfId="892" stopIfTrue="1">
      <formula>$F$27=50</formula>
    </cfRule>
  </conditionalFormatting>
  <conditionalFormatting sqref="G43">
    <cfRule type="expression" priority="66" dxfId="893" stopIfTrue="1">
      <formula>$G$51=114</formula>
    </cfRule>
    <cfRule type="expression" priority="67" dxfId="890" stopIfTrue="1">
      <formula>$F$43=99</formula>
    </cfRule>
    <cfRule type="expression" priority="68" dxfId="892" stopIfTrue="1">
      <formula>$F$43=51</formula>
    </cfRule>
  </conditionalFormatting>
  <conditionalFormatting sqref="G59">
    <cfRule type="expression" priority="63" dxfId="891" stopIfTrue="1">
      <formula>$G$51=114</formula>
    </cfRule>
    <cfRule type="expression" priority="64" dxfId="890" stopIfTrue="1">
      <formula>$F$59=100</formula>
    </cfRule>
    <cfRule type="expression" priority="65" dxfId="892" stopIfTrue="1">
      <formula>$F$59=52</formula>
    </cfRule>
  </conditionalFormatting>
  <conditionalFormatting sqref="G77">
    <cfRule type="expression" priority="60" dxfId="891" stopIfTrue="1">
      <formula>$G$85=115</formula>
    </cfRule>
    <cfRule type="expression" priority="61" dxfId="890" stopIfTrue="1">
      <formula>$F$77=101</formula>
    </cfRule>
    <cfRule type="expression" priority="62" dxfId="892" stopIfTrue="1">
      <formula>$F$77=53</formula>
    </cfRule>
  </conditionalFormatting>
  <conditionalFormatting sqref="G93">
    <cfRule type="expression" priority="57" dxfId="891" stopIfTrue="1">
      <formula>$G$85=115</formula>
    </cfRule>
    <cfRule type="expression" priority="58" dxfId="890" stopIfTrue="1">
      <formula>$F$93=102</formula>
    </cfRule>
    <cfRule type="expression" priority="59" dxfId="892" stopIfTrue="1">
      <formula>$F$93=54</formula>
    </cfRule>
  </conditionalFormatting>
  <conditionalFormatting sqref="G109">
    <cfRule type="expression" priority="54" dxfId="891" stopIfTrue="1">
      <formula>$G$117=116</formula>
    </cfRule>
    <cfRule type="expression" priority="55" dxfId="890" stopIfTrue="1">
      <formula>$F$109=103</formula>
    </cfRule>
    <cfRule type="expression" priority="56" dxfId="892" stopIfTrue="1">
      <formula>$F$109=55</formula>
    </cfRule>
  </conditionalFormatting>
  <conditionalFormatting sqref="G125">
    <cfRule type="expression" priority="51" dxfId="891" stopIfTrue="1">
      <formula>$G$117=116</formula>
    </cfRule>
    <cfRule type="expression" priority="52" dxfId="890" stopIfTrue="1">
      <formula>$F$125=104</formula>
    </cfRule>
    <cfRule type="expression" priority="53" dxfId="892" stopIfTrue="1">
      <formula>$F$125=56</formula>
    </cfRule>
  </conditionalFormatting>
  <conditionalFormatting sqref="G143">
    <cfRule type="expression" priority="49" dxfId="888" stopIfTrue="1">
      <formula>$G$151=117</formula>
    </cfRule>
    <cfRule type="expression" priority="50" dxfId="892" stopIfTrue="1">
      <formula>$F$143=105</formula>
    </cfRule>
  </conditionalFormatting>
  <conditionalFormatting sqref="G159">
    <cfRule type="expression" priority="47" dxfId="888" stopIfTrue="1">
      <formula>$G$151=117</formula>
    </cfRule>
    <cfRule type="expression" priority="48" dxfId="892" stopIfTrue="1">
      <formula>$F$159=106</formula>
    </cfRule>
  </conditionalFormatting>
  <conditionalFormatting sqref="G175">
    <cfRule type="expression" priority="45" dxfId="888" stopIfTrue="1">
      <formula>$G$183=118</formula>
    </cfRule>
    <cfRule type="expression" priority="46" dxfId="892" stopIfTrue="1">
      <formula>$F$175=107</formula>
    </cfRule>
  </conditionalFormatting>
  <conditionalFormatting sqref="G191">
    <cfRule type="expression" priority="43" dxfId="888" stopIfTrue="1">
      <formula>$G$183=118</formula>
    </cfRule>
    <cfRule type="expression" priority="44" dxfId="892" stopIfTrue="1">
      <formula>$F$191=108</formula>
    </cfRule>
  </conditionalFormatting>
  <conditionalFormatting sqref="G209">
    <cfRule type="expression" priority="41" dxfId="888" stopIfTrue="1">
      <formula>$G$217=119</formula>
    </cfRule>
    <cfRule type="expression" priority="42" dxfId="892" stopIfTrue="1">
      <formula>$F$209=109</formula>
    </cfRule>
  </conditionalFormatting>
  <conditionalFormatting sqref="G225">
    <cfRule type="expression" priority="39" dxfId="888" stopIfTrue="1">
      <formula>$G$217=119</formula>
    </cfRule>
    <cfRule type="expression" priority="40" dxfId="892" stopIfTrue="1">
      <formula>$F$225=110</formula>
    </cfRule>
  </conditionalFormatting>
  <conditionalFormatting sqref="G241">
    <cfRule type="expression" priority="37" dxfId="888" stopIfTrue="1">
      <formula>$G$249=120</formula>
    </cfRule>
    <cfRule type="expression" priority="38" dxfId="892" stopIfTrue="1">
      <formula>$F$241=111</formula>
    </cfRule>
  </conditionalFormatting>
  <conditionalFormatting sqref="G257">
    <cfRule type="expression" priority="35" dxfId="888" stopIfTrue="1">
      <formula>$G$249=120</formula>
    </cfRule>
    <cfRule type="expression" priority="36" dxfId="892" stopIfTrue="1">
      <formula>$F$257=112</formula>
    </cfRule>
  </conditionalFormatting>
  <conditionalFormatting sqref="F7">
    <cfRule type="expression" priority="32" dxfId="894" stopIfTrue="1">
      <formula>$F$11=49</formula>
    </cfRule>
    <cfRule type="expression" priority="33" dxfId="895" stopIfTrue="1">
      <formula>$E$7=33</formula>
    </cfRule>
    <cfRule type="expression" priority="34" dxfId="888" stopIfTrue="1">
      <formula>$F$11=97</formula>
    </cfRule>
  </conditionalFormatting>
  <conditionalFormatting sqref="F15">
    <cfRule type="expression" priority="29" dxfId="889" stopIfTrue="1">
      <formula>$F$11=49</formula>
    </cfRule>
    <cfRule type="expression" priority="30" dxfId="892" stopIfTrue="1">
      <formula>$E$15=34</formula>
    </cfRule>
    <cfRule type="expression" priority="31" dxfId="888" stopIfTrue="1">
      <formula>$F$11=97</formula>
    </cfRule>
  </conditionalFormatting>
  <conditionalFormatting sqref="F23">
    <cfRule type="expression" priority="27" dxfId="888" stopIfTrue="1">
      <formula>$F$27=50</formula>
    </cfRule>
    <cfRule type="expression" priority="28" dxfId="892" stopIfTrue="1">
      <formula>$E$23=35</formula>
    </cfRule>
  </conditionalFormatting>
  <conditionalFormatting sqref="F31">
    <cfRule type="expression" priority="25" dxfId="889" stopIfTrue="1">
      <formula>$F$27=50</formula>
    </cfRule>
    <cfRule type="expression" priority="26" dxfId="892" stopIfTrue="1">
      <formula>$E$31=36</formula>
    </cfRule>
  </conditionalFormatting>
  <conditionalFormatting sqref="F39">
    <cfRule type="expression" priority="23" dxfId="888" stopIfTrue="1">
      <formula>$F$43=51</formula>
    </cfRule>
    <cfRule type="expression" priority="24" dxfId="892" stopIfTrue="1">
      <formula>$E$39=37</formula>
    </cfRule>
  </conditionalFormatting>
  <conditionalFormatting sqref="F47">
    <cfRule type="expression" priority="21" dxfId="889" stopIfTrue="1">
      <formula>$F$43=51</formula>
    </cfRule>
    <cfRule type="expression" priority="22" dxfId="892" stopIfTrue="1">
      <formula>$E$47=38</formula>
    </cfRule>
  </conditionalFormatting>
  <conditionalFormatting sqref="F55">
    <cfRule type="expression" priority="19" dxfId="888" stopIfTrue="1">
      <formula>$F$59=52</formula>
    </cfRule>
    <cfRule type="expression" priority="20" dxfId="892" stopIfTrue="1">
      <formula>$E$55=39</formula>
    </cfRule>
  </conditionalFormatting>
  <conditionalFormatting sqref="F63">
    <cfRule type="expression" priority="17" dxfId="889" stopIfTrue="1">
      <formula>$F$59=52</formula>
    </cfRule>
    <cfRule type="expression" priority="18" dxfId="892" stopIfTrue="1">
      <formula>$E$63=40</formula>
    </cfRule>
  </conditionalFormatting>
  <conditionalFormatting sqref="F73">
    <cfRule type="expression" priority="15" dxfId="888" stopIfTrue="1">
      <formula>$F$77=53</formula>
    </cfRule>
    <cfRule type="expression" priority="16" dxfId="892" stopIfTrue="1">
      <formula>$E$73=41</formula>
    </cfRule>
  </conditionalFormatting>
  <conditionalFormatting sqref="F81">
    <cfRule type="expression" priority="13" dxfId="889" stopIfTrue="1">
      <formula>$F$77=53</formula>
    </cfRule>
    <cfRule type="expression" priority="14" dxfId="892" stopIfTrue="1">
      <formula>$E$81=42</formula>
    </cfRule>
  </conditionalFormatting>
  <conditionalFormatting sqref="F89">
    <cfRule type="expression" priority="11" dxfId="888" stopIfTrue="1">
      <formula>$F$93=54</formula>
    </cfRule>
    <cfRule type="expression" priority="12" dxfId="892" stopIfTrue="1">
      <formula>$E$89=43</formula>
    </cfRule>
  </conditionalFormatting>
  <conditionalFormatting sqref="F97">
    <cfRule type="expression" priority="9" dxfId="889" stopIfTrue="1">
      <formula>$F$93=54</formula>
    </cfRule>
    <cfRule type="expression" priority="10" dxfId="892" stopIfTrue="1">
      <formula>$E$97=44</formula>
    </cfRule>
  </conditionalFormatting>
  <conditionalFormatting sqref="F105">
    <cfRule type="expression" priority="7" dxfId="888" stopIfTrue="1">
      <formula>$F$109=55</formula>
    </cfRule>
    <cfRule type="expression" priority="8" dxfId="892" stopIfTrue="1">
      <formula>$E$105=45</formula>
    </cfRule>
  </conditionalFormatting>
  <conditionalFormatting sqref="F113">
    <cfRule type="expression" priority="5" dxfId="889" stopIfTrue="1">
      <formula>$F$109=55</formula>
    </cfRule>
    <cfRule type="expression" priority="6" dxfId="892" stopIfTrue="1">
      <formula>$E$113=46</formula>
    </cfRule>
  </conditionalFormatting>
  <conditionalFormatting sqref="F121">
    <cfRule type="expression" priority="3" dxfId="888" stopIfTrue="1">
      <formula>$F$125=56</formula>
    </cfRule>
    <cfRule type="expression" priority="4" dxfId="892" stopIfTrue="1">
      <formula>$E$121=47</formula>
    </cfRule>
  </conditionalFormatting>
  <conditionalFormatting sqref="F129">
    <cfRule type="expression" priority="1" dxfId="889" stopIfTrue="1">
      <formula>$F$125=56</formula>
    </cfRule>
    <cfRule type="expression" priority="2" dxfId="892" stopIfTrue="1">
      <formula>$E$129=48</formula>
    </cfRule>
  </conditionalFormatting>
  <printOptions horizontalCentered="1" verticalCentered="1"/>
  <pageMargins left="0" right="0" top="0" bottom="0.5905511811023623" header="0" footer="0"/>
  <pageSetup fitToHeight="0" horizontalDpi="600" verticalDpi="6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1">
      <selection activeCell="E26" sqref="E26"/>
    </sheetView>
  </sheetViews>
  <sheetFormatPr defaultColWidth="8.75390625" defaultRowHeight="12" customHeight="1"/>
  <cols>
    <col min="1" max="1" width="5.75390625" style="77" customWidth="1"/>
    <col min="2" max="2" width="21.375" style="77" customWidth="1"/>
    <col min="3" max="24" width="3.25390625" style="77" customWidth="1"/>
    <col min="25" max="25" width="6.00390625" style="77" customWidth="1"/>
    <col min="26" max="26" width="7.25390625" style="77" customWidth="1"/>
    <col min="27" max="27" width="4.25390625" style="78" customWidth="1"/>
    <col min="28" max="28" width="4.25390625" style="77" customWidth="1"/>
    <col min="29" max="31" width="7.75390625" style="77" customWidth="1"/>
    <col min="32" max="32" width="1.00390625" style="77" customWidth="1"/>
    <col min="33" max="35" width="7.75390625" style="77" customWidth="1"/>
    <col min="36" max="37" width="4.25390625" style="77" customWidth="1"/>
    <col min="38" max="43" width="7.75390625" style="77" customWidth="1"/>
    <col min="44" max="45" width="4.25390625" style="77" customWidth="1"/>
    <col min="46" max="48" width="7.75390625" style="77" customWidth="1"/>
    <col min="49" max="49" width="1.00390625" style="77" customWidth="1"/>
    <col min="50" max="52" width="7.75390625" style="77" customWidth="1"/>
    <col min="53" max="54" width="4.25390625" style="77" customWidth="1"/>
    <col min="55" max="60" width="7.75390625" style="77" customWidth="1"/>
    <col min="61" max="62" width="4.25390625" style="77" customWidth="1"/>
    <col min="63" max="65" width="7.75390625" style="77" customWidth="1"/>
    <col min="66" max="66" width="1.00390625" style="77" customWidth="1"/>
    <col min="67" max="69" width="7.75390625" style="77" customWidth="1"/>
    <col min="70" max="71" width="4.25390625" style="77" customWidth="1"/>
    <col min="72" max="74" width="7.75390625" style="77" customWidth="1"/>
    <col min="75" max="16384" width="8.75390625" style="77" customWidth="1"/>
  </cols>
  <sheetData>
    <row r="1" spans="1:40" s="70" customFormat="1" ht="19.5" customHeight="1">
      <c r="A1" s="243" t="s">
        <v>73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F1" s="69"/>
      <c r="AG1" s="69"/>
      <c r="AH1" s="69"/>
      <c r="AI1" s="69"/>
      <c r="AJ1" s="69"/>
      <c r="AK1" s="69"/>
      <c r="AL1" s="69"/>
      <c r="AM1" s="69"/>
      <c r="AN1" s="69"/>
    </row>
    <row r="2" spans="1:40" s="70" customFormat="1" ht="20.25" customHeight="1">
      <c r="A2" s="71"/>
      <c r="B2" s="72"/>
      <c r="C2" s="72"/>
      <c r="E2" s="244" t="s">
        <v>526</v>
      </c>
      <c r="F2" s="244"/>
      <c r="G2" s="244"/>
      <c r="H2" s="244"/>
      <c r="I2" s="244"/>
      <c r="J2" s="244"/>
      <c r="K2" s="244"/>
      <c r="L2" s="244"/>
      <c r="M2" s="244"/>
      <c r="N2" s="244"/>
      <c r="O2" s="244"/>
      <c r="P2" s="244"/>
      <c r="Q2" s="244"/>
      <c r="R2" s="244"/>
      <c r="S2" s="69"/>
      <c r="T2" s="69"/>
      <c r="U2" s="197" t="s">
        <v>75</v>
      </c>
      <c r="V2" s="197"/>
      <c r="W2" s="197"/>
      <c r="X2" s="197"/>
      <c r="Y2" s="197"/>
      <c r="Z2" s="197"/>
      <c r="AF2" s="69"/>
      <c r="AG2" s="69"/>
      <c r="AH2" s="69"/>
      <c r="AI2" s="69"/>
      <c r="AJ2" s="69"/>
      <c r="AK2" s="69"/>
      <c r="AL2" s="69"/>
      <c r="AM2" s="69"/>
      <c r="AN2" s="69"/>
    </row>
    <row r="3" spans="1:40" s="70" customFormat="1" ht="15" customHeight="1">
      <c r="A3" s="69"/>
      <c r="B3" s="69"/>
      <c r="C3" s="69"/>
      <c r="D3" s="69"/>
      <c r="E3" s="69"/>
      <c r="F3" s="69"/>
      <c r="G3" s="69"/>
      <c r="H3" s="69"/>
      <c r="I3" s="69"/>
      <c r="J3" s="69"/>
      <c r="K3" s="69"/>
      <c r="L3" s="69"/>
      <c r="M3" s="69"/>
      <c r="N3" s="69"/>
      <c r="O3" s="69"/>
      <c r="P3" s="69"/>
      <c r="Q3" s="69"/>
      <c r="R3" s="69"/>
      <c r="S3" s="69"/>
      <c r="T3" s="69"/>
      <c r="U3" s="69"/>
      <c r="V3" s="69"/>
      <c r="W3" s="69"/>
      <c r="X3" s="69"/>
      <c r="Y3" s="74"/>
      <c r="Z3" s="74" t="s">
        <v>525</v>
      </c>
      <c r="AF3" s="69"/>
      <c r="AG3" s="69"/>
      <c r="AH3" s="69"/>
      <c r="AI3" s="69"/>
      <c r="AJ3" s="69"/>
      <c r="AK3" s="69"/>
      <c r="AL3" s="69"/>
      <c r="AM3" s="69"/>
      <c r="AN3" s="69"/>
    </row>
    <row r="4" spans="1:40" ht="15" customHeight="1">
      <c r="A4" s="75" t="s">
        <v>8</v>
      </c>
      <c r="B4" s="76"/>
      <c r="C4" s="76"/>
      <c r="D4" s="76"/>
      <c r="E4" s="76"/>
      <c r="F4" s="76"/>
      <c r="G4" s="76"/>
      <c r="H4" s="76"/>
      <c r="I4" s="76"/>
      <c r="J4" s="76"/>
      <c r="K4" s="76"/>
      <c r="L4" s="76"/>
      <c r="M4" s="76"/>
      <c r="N4" s="76"/>
      <c r="O4" s="76"/>
      <c r="P4" s="76"/>
      <c r="Q4" s="76"/>
      <c r="R4" s="76"/>
      <c r="S4" s="76"/>
      <c r="T4" s="76"/>
      <c r="U4" s="76"/>
      <c r="V4" s="76"/>
      <c r="W4" s="76"/>
      <c r="X4" s="76"/>
      <c r="Y4" s="76"/>
      <c r="Z4" s="76"/>
      <c r="AF4" s="69"/>
      <c r="AG4" s="69"/>
      <c r="AH4" s="69"/>
      <c r="AI4" s="69"/>
      <c r="AJ4" s="69"/>
      <c r="AK4" s="69"/>
      <c r="AL4" s="69"/>
      <c r="AM4" s="69"/>
      <c r="AN4" s="69"/>
    </row>
    <row r="5" spans="1:40" ht="13.5" customHeight="1">
      <c r="A5" s="79" t="s">
        <v>9</v>
      </c>
      <c r="B5" s="80" t="s">
        <v>10</v>
      </c>
      <c r="C5" s="232">
        <v>2</v>
      </c>
      <c r="D5" s="233"/>
      <c r="E5" s="233"/>
      <c r="F5" s="233"/>
      <c r="G5" s="234"/>
      <c r="H5" s="232">
        <v>12</v>
      </c>
      <c r="I5" s="233"/>
      <c r="J5" s="233"/>
      <c r="K5" s="233"/>
      <c r="L5" s="233"/>
      <c r="M5" s="232">
        <v>32</v>
      </c>
      <c r="N5" s="233"/>
      <c r="O5" s="233"/>
      <c r="P5" s="233"/>
      <c r="Q5" s="233"/>
      <c r="R5" s="232">
        <v>41</v>
      </c>
      <c r="S5" s="233"/>
      <c r="T5" s="233"/>
      <c r="U5" s="233"/>
      <c r="V5" s="233"/>
      <c r="W5" s="235" t="s">
        <v>11</v>
      </c>
      <c r="X5" s="236"/>
      <c r="Y5" s="81" t="s">
        <v>12</v>
      </c>
      <c r="Z5" s="81" t="s">
        <v>24</v>
      </c>
      <c r="AF5" s="69"/>
      <c r="AG5" s="69"/>
      <c r="AH5" s="69"/>
      <c r="AI5" s="69"/>
      <c r="AJ5" s="69"/>
      <c r="AK5" s="69"/>
      <c r="AL5" s="69"/>
      <c r="AM5" s="69"/>
      <c r="AN5" s="69"/>
    </row>
    <row r="6" spans="1:40" ht="13.5" customHeight="1">
      <c r="A6" s="231">
        <v>2</v>
      </c>
      <c r="B6" s="82" t="s">
        <v>246</v>
      </c>
      <c r="C6" s="220" t="s">
        <v>16</v>
      </c>
      <c r="D6" s="221"/>
      <c r="E6" s="221"/>
      <c r="F6" s="221"/>
      <c r="G6" s="227"/>
      <c r="H6" s="240" t="s">
        <v>241</v>
      </c>
      <c r="I6" s="204"/>
      <c r="J6" s="204"/>
      <c r="K6" s="204"/>
      <c r="L6" s="241"/>
      <c r="M6" s="218" t="s">
        <v>218</v>
      </c>
      <c r="N6" s="203"/>
      <c r="O6" s="203"/>
      <c r="P6" s="203"/>
      <c r="Q6" s="203"/>
      <c r="R6" s="218" t="s">
        <v>217</v>
      </c>
      <c r="S6" s="203"/>
      <c r="T6" s="203"/>
      <c r="U6" s="203"/>
      <c r="V6" s="203"/>
      <c r="W6" s="228" t="s">
        <v>524</v>
      </c>
      <c r="X6" s="229"/>
      <c r="Y6" s="225">
        <v>5</v>
      </c>
      <c r="Z6" s="226">
        <v>2</v>
      </c>
      <c r="AA6" s="83"/>
      <c r="AB6" s="83"/>
      <c r="AC6" s="83"/>
      <c r="AD6" s="83"/>
      <c r="AE6" s="69"/>
      <c r="AF6" s="69"/>
      <c r="AG6" s="69"/>
      <c r="AH6" s="69"/>
      <c r="AI6" s="69"/>
      <c r="AJ6" s="69"/>
      <c r="AK6" s="69"/>
      <c r="AL6" s="69"/>
      <c r="AM6" s="69"/>
      <c r="AN6" s="69"/>
    </row>
    <row r="7" spans="1:40" ht="13.5" customHeight="1">
      <c r="A7" s="217"/>
      <c r="B7" s="84" t="s">
        <v>471</v>
      </c>
      <c r="C7" s="210" t="s">
        <v>472</v>
      </c>
      <c r="D7" s="211"/>
      <c r="E7" s="211"/>
      <c r="F7" s="211"/>
      <c r="G7" s="230"/>
      <c r="H7" s="85" t="s">
        <v>232</v>
      </c>
      <c r="I7" s="86" t="s">
        <v>239</v>
      </c>
      <c r="J7" s="86" t="s">
        <v>223</v>
      </c>
      <c r="K7" s="86" t="s">
        <v>226</v>
      </c>
      <c r="L7" s="86" t="s">
        <v>78</v>
      </c>
      <c r="M7" s="85" t="s">
        <v>255</v>
      </c>
      <c r="N7" s="86" t="s">
        <v>250</v>
      </c>
      <c r="O7" s="86" t="s">
        <v>240</v>
      </c>
      <c r="P7" s="86" t="s">
        <v>78</v>
      </c>
      <c r="Q7" s="86" t="s">
        <v>78</v>
      </c>
      <c r="R7" s="87" t="s">
        <v>239</v>
      </c>
      <c r="S7" s="88" t="s">
        <v>233</v>
      </c>
      <c r="T7" s="88" t="s">
        <v>261</v>
      </c>
      <c r="U7" s="86" t="s">
        <v>226</v>
      </c>
      <c r="V7" s="88" t="s">
        <v>19</v>
      </c>
      <c r="W7" s="214"/>
      <c r="X7" s="215"/>
      <c r="Y7" s="207"/>
      <c r="Z7" s="209"/>
      <c r="AA7" s="89"/>
      <c r="AB7" s="89"/>
      <c r="AC7" s="89"/>
      <c r="AD7" s="89"/>
      <c r="AE7" s="70"/>
      <c r="AF7" s="69"/>
      <c r="AG7" s="69"/>
      <c r="AH7" s="69"/>
      <c r="AI7" s="69"/>
      <c r="AJ7" s="69"/>
      <c r="AK7" s="69"/>
      <c r="AL7" s="69"/>
      <c r="AM7" s="69"/>
      <c r="AN7" s="69"/>
    </row>
    <row r="8" spans="1:40" ht="13.5" customHeight="1">
      <c r="A8" s="216">
        <v>12</v>
      </c>
      <c r="B8" s="82" t="s">
        <v>440</v>
      </c>
      <c r="C8" s="218" t="s">
        <v>230</v>
      </c>
      <c r="D8" s="203"/>
      <c r="E8" s="203"/>
      <c r="F8" s="203"/>
      <c r="G8" s="219"/>
      <c r="H8" s="220" t="s">
        <v>16</v>
      </c>
      <c r="I8" s="221"/>
      <c r="J8" s="221"/>
      <c r="K8" s="221"/>
      <c r="L8" s="221"/>
      <c r="M8" s="218" t="s">
        <v>230</v>
      </c>
      <c r="N8" s="203"/>
      <c r="O8" s="203"/>
      <c r="P8" s="203"/>
      <c r="Q8" s="203"/>
      <c r="R8" s="222" t="s">
        <v>235</v>
      </c>
      <c r="S8" s="223"/>
      <c r="T8" s="223"/>
      <c r="U8" s="203"/>
      <c r="V8" s="223"/>
      <c r="W8" s="212" t="s">
        <v>262</v>
      </c>
      <c r="X8" s="213"/>
      <c r="Y8" s="206">
        <v>5</v>
      </c>
      <c r="Z8" s="208">
        <v>1</v>
      </c>
      <c r="AA8" s="91"/>
      <c r="AB8" s="242"/>
      <c r="AC8" s="242"/>
      <c r="AD8" s="90"/>
      <c r="AE8" s="70"/>
      <c r="AF8" s="69"/>
      <c r="AG8" s="69"/>
      <c r="AH8" s="69"/>
      <c r="AI8" s="69"/>
      <c r="AJ8" s="69"/>
      <c r="AK8" s="69"/>
      <c r="AL8" s="69"/>
      <c r="AM8" s="69"/>
      <c r="AN8" s="69"/>
    </row>
    <row r="9" spans="1:40" ht="13.5" customHeight="1">
      <c r="A9" s="217"/>
      <c r="B9" s="84" t="s">
        <v>463</v>
      </c>
      <c r="C9" s="85" t="s">
        <v>224</v>
      </c>
      <c r="D9" s="86" t="s">
        <v>244</v>
      </c>
      <c r="E9" s="86" t="s">
        <v>225</v>
      </c>
      <c r="F9" s="86" t="s">
        <v>228</v>
      </c>
      <c r="G9" s="92" t="s">
        <v>78</v>
      </c>
      <c r="H9" s="210" t="s">
        <v>472</v>
      </c>
      <c r="I9" s="211"/>
      <c r="J9" s="211"/>
      <c r="K9" s="211"/>
      <c r="L9" s="211"/>
      <c r="M9" s="85" t="s">
        <v>226</v>
      </c>
      <c r="N9" s="86" t="s">
        <v>223</v>
      </c>
      <c r="O9" s="86" t="s">
        <v>233</v>
      </c>
      <c r="P9" s="86" t="s">
        <v>223</v>
      </c>
      <c r="Q9" s="86" t="s">
        <v>78</v>
      </c>
      <c r="R9" s="85" t="s">
        <v>226</v>
      </c>
      <c r="S9" s="86" t="s">
        <v>258</v>
      </c>
      <c r="T9" s="86" t="s">
        <v>245</v>
      </c>
      <c r="U9" s="86" t="s">
        <v>78</v>
      </c>
      <c r="V9" s="86" t="s">
        <v>78</v>
      </c>
      <c r="W9" s="214"/>
      <c r="X9" s="215"/>
      <c r="Y9" s="207"/>
      <c r="Z9" s="209"/>
      <c r="AA9" s="93"/>
      <c r="AB9" s="224"/>
      <c r="AC9" s="224"/>
      <c r="AD9" s="93"/>
      <c r="AE9" s="70"/>
      <c r="AF9" s="69"/>
      <c r="AG9" s="69"/>
      <c r="AH9" s="69"/>
      <c r="AI9" s="69"/>
      <c r="AJ9" s="69"/>
      <c r="AK9" s="69"/>
      <c r="AL9" s="69"/>
      <c r="AM9" s="69"/>
      <c r="AN9" s="69"/>
    </row>
    <row r="10" spans="1:40" ht="13.5" customHeight="1">
      <c r="A10" s="216">
        <v>32</v>
      </c>
      <c r="B10" s="82" t="s">
        <v>442</v>
      </c>
      <c r="C10" s="218" t="s">
        <v>235</v>
      </c>
      <c r="D10" s="203"/>
      <c r="E10" s="203"/>
      <c r="F10" s="203"/>
      <c r="G10" s="219"/>
      <c r="H10" s="237" t="s">
        <v>241</v>
      </c>
      <c r="I10" s="238"/>
      <c r="J10" s="238"/>
      <c r="K10" s="238"/>
      <c r="L10" s="239"/>
      <c r="M10" s="220" t="s">
        <v>16</v>
      </c>
      <c r="N10" s="221"/>
      <c r="O10" s="221"/>
      <c r="P10" s="221"/>
      <c r="Q10" s="221"/>
      <c r="R10" s="222" t="s">
        <v>218</v>
      </c>
      <c r="S10" s="223"/>
      <c r="T10" s="223"/>
      <c r="U10" s="223"/>
      <c r="V10" s="223"/>
      <c r="W10" s="212" t="s">
        <v>500</v>
      </c>
      <c r="X10" s="213"/>
      <c r="Y10" s="206">
        <v>4</v>
      </c>
      <c r="Z10" s="208">
        <v>3</v>
      </c>
      <c r="AA10" s="93"/>
      <c r="AB10" s="224"/>
      <c r="AC10" s="224"/>
      <c r="AD10" s="93"/>
      <c r="AE10" s="70"/>
      <c r="AF10" s="69"/>
      <c r="AG10" s="69"/>
      <c r="AH10" s="69"/>
      <c r="AI10" s="69"/>
      <c r="AJ10" s="69"/>
      <c r="AK10" s="69"/>
      <c r="AL10" s="69"/>
      <c r="AM10" s="69"/>
      <c r="AN10" s="69"/>
    </row>
    <row r="11" spans="1:40" ht="13.5" customHeight="1">
      <c r="A11" s="217"/>
      <c r="B11" s="84" t="s">
        <v>443</v>
      </c>
      <c r="C11" s="85" t="s">
        <v>259</v>
      </c>
      <c r="D11" s="86" t="s">
        <v>253</v>
      </c>
      <c r="E11" s="86" t="s">
        <v>245</v>
      </c>
      <c r="F11" s="86" t="s">
        <v>78</v>
      </c>
      <c r="G11" s="92" t="s">
        <v>78</v>
      </c>
      <c r="H11" s="85" t="s">
        <v>228</v>
      </c>
      <c r="I11" s="86" t="s">
        <v>225</v>
      </c>
      <c r="J11" s="86" t="s">
        <v>238</v>
      </c>
      <c r="K11" s="86" t="s">
        <v>225</v>
      </c>
      <c r="L11" s="86" t="s">
        <v>78</v>
      </c>
      <c r="M11" s="210" t="s">
        <v>472</v>
      </c>
      <c r="N11" s="211"/>
      <c r="O11" s="211"/>
      <c r="P11" s="211"/>
      <c r="Q11" s="211"/>
      <c r="R11" s="85" t="s">
        <v>261</v>
      </c>
      <c r="S11" s="86" t="s">
        <v>227</v>
      </c>
      <c r="T11" s="86" t="s">
        <v>233</v>
      </c>
      <c r="U11" s="86" t="s">
        <v>78</v>
      </c>
      <c r="V11" s="86" t="s">
        <v>78</v>
      </c>
      <c r="W11" s="214"/>
      <c r="X11" s="215"/>
      <c r="Y11" s="207"/>
      <c r="Z11" s="209"/>
      <c r="AA11" s="93"/>
      <c r="AB11" s="224"/>
      <c r="AC11" s="224"/>
      <c r="AD11" s="93"/>
      <c r="AE11" s="70"/>
      <c r="AF11" s="69"/>
      <c r="AG11" s="69"/>
      <c r="AH11" s="69"/>
      <c r="AI11" s="69"/>
      <c r="AJ11" s="69"/>
      <c r="AK11" s="69"/>
      <c r="AL11" s="69"/>
      <c r="AM11" s="69"/>
      <c r="AN11" s="69"/>
    </row>
    <row r="12" spans="1:40" ht="13.5" customHeight="1">
      <c r="A12" s="216">
        <v>41</v>
      </c>
      <c r="B12" s="82" t="s">
        <v>299</v>
      </c>
      <c r="C12" s="218" t="s">
        <v>229</v>
      </c>
      <c r="D12" s="203"/>
      <c r="E12" s="203"/>
      <c r="F12" s="203"/>
      <c r="G12" s="219"/>
      <c r="H12" s="237" t="s">
        <v>218</v>
      </c>
      <c r="I12" s="238"/>
      <c r="J12" s="238"/>
      <c r="K12" s="238"/>
      <c r="L12" s="239"/>
      <c r="M12" s="218" t="s">
        <v>235</v>
      </c>
      <c r="N12" s="203"/>
      <c r="O12" s="203"/>
      <c r="P12" s="203"/>
      <c r="Q12" s="203"/>
      <c r="R12" s="220" t="s">
        <v>16</v>
      </c>
      <c r="S12" s="221"/>
      <c r="T12" s="221"/>
      <c r="U12" s="221"/>
      <c r="V12" s="221"/>
      <c r="W12" s="212" t="s">
        <v>502</v>
      </c>
      <c r="X12" s="213"/>
      <c r="Y12" s="206">
        <v>4</v>
      </c>
      <c r="Z12" s="208">
        <v>4</v>
      </c>
      <c r="AA12" s="93"/>
      <c r="AB12" s="224"/>
      <c r="AC12" s="224"/>
      <c r="AD12" s="93"/>
      <c r="AF12" s="69"/>
      <c r="AG12" s="69"/>
      <c r="AH12" s="69"/>
      <c r="AI12" s="69"/>
      <c r="AJ12" s="69"/>
      <c r="AK12" s="69"/>
      <c r="AL12" s="69"/>
      <c r="AM12" s="69"/>
      <c r="AN12" s="69"/>
    </row>
    <row r="13" spans="1:40" ht="13.5" customHeight="1">
      <c r="A13" s="217"/>
      <c r="B13" s="84" t="s">
        <v>432</v>
      </c>
      <c r="C13" s="85" t="s">
        <v>244</v>
      </c>
      <c r="D13" s="86" t="s">
        <v>238</v>
      </c>
      <c r="E13" s="86" t="s">
        <v>258</v>
      </c>
      <c r="F13" s="86" t="s">
        <v>228</v>
      </c>
      <c r="G13" s="92" t="s">
        <v>26</v>
      </c>
      <c r="H13" s="85" t="s">
        <v>228</v>
      </c>
      <c r="I13" s="86" t="s">
        <v>261</v>
      </c>
      <c r="J13" s="86" t="s">
        <v>240</v>
      </c>
      <c r="K13" s="86" t="s">
        <v>78</v>
      </c>
      <c r="L13" s="86" t="s">
        <v>78</v>
      </c>
      <c r="M13" s="85" t="s">
        <v>258</v>
      </c>
      <c r="N13" s="86" t="s">
        <v>237</v>
      </c>
      <c r="O13" s="86" t="s">
        <v>238</v>
      </c>
      <c r="P13" s="86" t="s">
        <v>78</v>
      </c>
      <c r="Q13" s="86" t="s">
        <v>78</v>
      </c>
      <c r="R13" s="210" t="s">
        <v>472</v>
      </c>
      <c r="S13" s="211"/>
      <c r="T13" s="211"/>
      <c r="U13" s="211"/>
      <c r="V13" s="211"/>
      <c r="W13" s="214"/>
      <c r="X13" s="215"/>
      <c r="Y13" s="207"/>
      <c r="Z13" s="209"/>
      <c r="AA13" s="93"/>
      <c r="AB13" s="224"/>
      <c r="AC13" s="224"/>
      <c r="AD13" s="93"/>
      <c r="AF13" s="69"/>
      <c r="AG13" s="69"/>
      <c r="AH13" s="69"/>
      <c r="AI13" s="69"/>
      <c r="AJ13" s="69"/>
      <c r="AK13" s="69"/>
      <c r="AL13" s="69"/>
      <c r="AM13" s="69"/>
      <c r="AN13" s="69"/>
    </row>
    <row r="14" spans="1:40" ht="13.5" customHeight="1">
      <c r="A14" s="95"/>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3"/>
      <c r="AB14" s="224"/>
      <c r="AC14" s="224"/>
      <c r="AD14" s="93"/>
      <c r="AF14" s="69"/>
      <c r="AG14" s="69"/>
      <c r="AH14" s="69"/>
      <c r="AI14" s="69"/>
      <c r="AJ14" s="69"/>
      <c r="AK14" s="69"/>
      <c r="AL14" s="69"/>
      <c r="AM14" s="69"/>
      <c r="AN14" s="69"/>
    </row>
    <row r="15" spans="1:40" ht="15" customHeight="1">
      <c r="A15" s="75" t="s">
        <v>23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93"/>
      <c r="AB15" s="224"/>
      <c r="AC15" s="224"/>
      <c r="AD15" s="93"/>
      <c r="AF15" s="69"/>
      <c r="AG15" s="69"/>
      <c r="AH15" s="69"/>
      <c r="AI15" s="69"/>
      <c r="AJ15" s="69"/>
      <c r="AK15" s="69"/>
      <c r="AL15" s="69"/>
      <c r="AM15" s="69"/>
      <c r="AN15" s="69"/>
    </row>
    <row r="16" spans="1:40" ht="13.5" customHeight="1">
      <c r="A16" s="79" t="s">
        <v>9</v>
      </c>
      <c r="B16" s="80" t="s">
        <v>10</v>
      </c>
      <c r="C16" s="232">
        <v>5</v>
      </c>
      <c r="D16" s="233"/>
      <c r="E16" s="233"/>
      <c r="F16" s="233"/>
      <c r="G16" s="234"/>
      <c r="H16" s="232">
        <v>15</v>
      </c>
      <c r="I16" s="233"/>
      <c r="J16" s="233"/>
      <c r="K16" s="233"/>
      <c r="L16" s="233"/>
      <c r="M16" s="232">
        <v>25</v>
      </c>
      <c r="N16" s="233"/>
      <c r="O16" s="233"/>
      <c r="P16" s="233"/>
      <c r="Q16" s="233"/>
      <c r="R16" s="232">
        <v>40</v>
      </c>
      <c r="S16" s="233"/>
      <c r="T16" s="233"/>
      <c r="U16" s="233"/>
      <c r="V16" s="233"/>
      <c r="W16" s="235" t="s">
        <v>11</v>
      </c>
      <c r="X16" s="236"/>
      <c r="Y16" s="81" t="s">
        <v>12</v>
      </c>
      <c r="Z16" s="81" t="s">
        <v>24</v>
      </c>
      <c r="AA16" s="93"/>
      <c r="AB16" s="224"/>
      <c r="AC16" s="224"/>
      <c r="AD16" s="93"/>
      <c r="AF16" s="69"/>
      <c r="AG16" s="69"/>
      <c r="AH16" s="69"/>
      <c r="AI16" s="69"/>
      <c r="AJ16" s="69"/>
      <c r="AK16" s="69"/>
      <c r="AL16" s="69"/>
      <c r="AM16" s="69"/>
      <c r="AN16" s="69"/>
    </row>
    <row r="17" spans="1:40" ht="13.5" customHeight="1">
      <c r="A17" s="231">
        <v>5</v>
      </c>
      <c r="B17" s="82" t="s">
        <v>220</v>
      </c>
      <c r="C17" s="220" t="s">
        <v>16</v>
      </c>
      <c r="D17" s="221"/>
      <c r="E17" s="221"/>
      <c r="F17" s="221"/>
      <c r="G17" s="227"/>
      <c r="H17" s="240" t="s">
        <v>218</v>
      </c>
      <c r="I17" s="204"/>
      <c r="J17" s="204"/>
      <c r="K17" s="204"/>
      <c r="L17" s="241"/>
      <c r="M17" s="218" t="s">
        <v>230</v>
      </c>
      <c r="N17" s="203"/>
      <c r="O17" s="203"/>
      <c r="P17" s="203"/>
      <c r="Q17" s="203"/>
      <c r="R17" s="218" t="s">
        <v>218</v>
      </c>
      <c r="S17" s="203"/>
      <c r="T17" s="203"/>
      <c r="U17" s="203"/>
      <c r="V17" s="203"/>
      <c r="W17" s="228" t="s">
        <v>523</v>
      </c>
      <c r="X17" s="229"/>
      <c r="Y17" s="225">
        <v>6</v>
      </c>
      <c r="Z17" s="226">
        <v>1</v>
      </c>
      <c r="AA17" s="93"/>
      <c r="AB17" s="224"/>
      <c r="AC17" s="224"/>
      <c r="AD17" s="93"/>
      <c r="AF17" s="69"/>
      <c r="AG17" s="69"/>
      <c r="AH17" s="69"/>
      <c r="AI17" s="69"/>
      <c r="AJ17" s="69"/>
      <c r="AK17" s="69"/>
      <c r="AL17" s="69"/>
      <c r="AM17" s="69"/>
      <c r="AN17" s="69"/>
    </row>
    <row r="18" spans="1:40" ht="13.5" customHeight="1">
      <c r="A18" s="217"/>
      <c r="B18" s="84" t="s">
        <v>470</v>
      </c>
      <c r="C18" s="210" t="s">
        <v>472</v>
      </c>
      <c r="D18" s="211"/>
      <c r="E18" s="211"/>
      <c r="F18" s="211"/>
      <c r="G18" s="230"/>
      <c r="H18" s="85" t="s">
        <v>228</v>
      </c>
      <c r="I18" s="86" t="s">
        <v>224</v>
      </c>
      <c r="J18" s="86" t="s">
        <v>223</v>
      </c>
      <c r="K18" s="86" t="s">
        <v>78</v>
      </c>
      <c r="L18" s="86" t="s">
        <v>78</v>
      </c>
      <c r="M18" s="85" t="s">
        <v>224</v>
      </c>
      <c r="N18" s="86" t="s">
        <v>228</v>
      </c>
      <c r="O18" s="86" t="s">
        <v>238</v>
      </c>
      <c r="P18" s="86" t="s">
        <v>256</v>
      </c>
      <c r="Q18" s="86" t="s">
        <v>78</v>
      </c>
      <c r="R18" s="87" t="s">
        <v>233</v>
      </c>
      <c r="S18" s="88" t="s">
        <v>256</v>
      </c>
      <c r="T18" s="88" t="s">
        <v>255</v>
      </c>
      <c r="U18" s="86" t="s">
        <v>78</v>
      </c>
      <c r="V18" s="88" t="s">
        <v>78</v>
      </c>
      <c r="W18" s="214"/>
      <c r="X18" s="215"/>
      <c r="Y18" s="207"/>
      <c r="Z18" s="209"/>
      <c r="AA18" s="93"/>
      <c r="AB18" s="224"/>
      <c r="AC18" s="224"/>
      <c r="AD18" s="93"/>
      <c r="AF18" s="69"/>
      <c r="AG18" s="69"/>
      <c r="AH18" s="69"/>
      <c r="AI18" s="69"/>
      <c r="AJ18" s="69"/>
      <c r="AK18" s="69"/>
      <c r="AL18" s="69"/>
      <c r="AM18" s="69"/>
      <c r="AN18" s="69"/>
    </row>
    <row r="19" spans="1:40" ht="13.5" customHeight="1">
      <c r="A19" s="216">
        <v>15</v>
      </c>
      <c r="B19" s="82" t="s">
        <v>289</v>
      </c>
      <c r="C19" s="218" t="s">
        <v>235</v>
      </c>
      <c r="D19" s="203"/>
      <c r="E19" s="203"/>
      <c r="F19" s="203"/>
      <c r="G19" s="219"/>
      <c r="H19" s="220" t="s">
        <v>16</v>
      </c>
      <c r="I19" s="221"/>
      <c r="J19" s="221"/>
      <c r="K19" s="221"/>
      <c r="L19" s="221"/>
      <c r="M19" s="218" t="s">
        <v>230</v>
      </c>
      <c r="N19" s="203"/>
      <c r="O19" s="203"/>
      <c r="P19" s="203"/>
      <c r="Q19" s="203"/>
      <c r="R19" s="222" t="s">
        <v>217</v>
      </c>
      <c r="S19" s="223"/>
      <c r="T19" s="223"/>
      <c r="U19" s="203"/>
      <c r="V19" s="223"/>
      <c r="W19" s="212" t="s">
        <v>522</v>
      </c>
      <c r="X19" s="213"/>
      <c r="Y19" s="206">
        <v>5</v>
      </c>
      <c r="Z19" s="208">
        <v>2</v>
      </c>
      <c r="AA19" s="93"/>
      <c r="AB19" s="224"/>
      <c r="AC19" s="224"/>
      <c r="AD19" s="93"/>
      <c r="AF19" s="69"/>
      <c r="AG19" s="69"/>
      <c r="AH19" s="69"/>
      <c r="AI19" s="69"/>
      <c r="AJ19" s="69"/>
      <c r="AK19" s="69"/>
      <c r="AL19" s="69"/>
      <c r="AM19" s="69"/>
      <c r="AN19" s="69"/>
    </row>
    <row r="20" spans="1:40" ht="13.5" customHeight="1">
      <c r="A20" s="217"/>
      <c r="B20" s="84" t="s">
        <v>460</v>
      </c>
      <c r="C20" s="85" t="s">
        <v>226</v>
      </c>
      <c r="D20" s="86" t="s">
        <v>232</v>
      </c>
      <c r="E20" s="86" t="s">
        <v>225</v>
      </c>
      <c r="F20" s="86" t="s">
        <v>78</v>
      </c>
      <c r="G20" s="92" t="s">
        <v>78</v>
      </c>
      <c r="H20" s="210" t="s">
        <v>472</v>
      </c>
      <c r="I20" s="211"/>
      <c r="J20" s="211"/>
      <c r="K20" s="211"/>
      <c r="L20" s="211"/>
      <c r="M20" s="85" t="s">
        <v>226</v>
      </c>
      <c r="N20" s="86" t="s">
        <v>233</v>
      </c>
      <c r="O20" s="86" t="s">
        <v>244</v>
      </c>
      <c r="P20" s="86" t="s">
        <v>223</v>
      </c>
      <c r="Q20" s="86" t="s">
        <v>78</v>
      </c>
      <c r="R20" s="85" t="s">
        <v>250</v>
      </c>
      <c r="S20" s="86" t="s">
        <v>261</v>
      </c>
      <c r="T20" s="86" t="s">
        <v>238</v>
      </c>
      <c r="U20" s="86" t="s">
        <v>245</v>
      </c>
      <c r="V20" s="86" t="s">
        <v>15</v>
      </c>
      <c r="W20" s="214"/>
      <c r="X20" s="215"/>
      <c r="Y20" s="207"/>
      <c r="Z20" s="209"/>
      <c r="AA20" s="93"/>
      <c r="AB20" s="224"/>
      <c r="AC20" s="224"/>
      <c r="AD20" s="93"/>
      <c r="AF20" s="69"/>
      <c r="AG20" s="69"/>
      <c r="AH20" s="69"/>
      <c r="AI20" s="69"/>
      <c r="AJ20" s="69"/>
      <c r="AK20" s="69"/>
      <c r="AL20" s="69"/>
      <c r="AM20" s="69"/>
      <c r="AN20" s="69"/>
    </row>
    <row r="21" spans="1:40" ht="13.5" customHeight="1">
      <c r="A21" s="216">
        <v>25</v>
      </c>
      <c r="B21" s="82" t="s">
        <v>356</v>
      </c>
      <c r="C21" s="218" t="s">
        <v>241</v>
      </c>
      <c r="D21" s="203"/>
      <c r="E21" s="203"/>
      <c r="F21" s="203"/>
      <c r="G21" s="219"/>
      <c r="H21" s="237" t="s">
        <v>241</v>
      </c>
      <c r="I21" s="238"/>
      <c r="J21" s="238"/>
      <c r="K21" s="238"/>
      <c r="L21" s="239"/>
      <c r="M21" s="220" t="s">
        <v>16</v>
      </c>
      <c r="N21" s="221"/>
      <c r="O21" s="221"/>
      <c r="P21" s="221"/>
      <c r="Q21" s="221"/>
      <c r="R21" s="222" t="s">
        <v>235</v>
      </c>
      <c r="S21" s="223"/>
      <c r="T21" s="223"/>
      <c r="U21" s="223"/>
      <c r="V21" s="223"/>
      <c r="W21" s="212" t="s">
        <v>236</v>
      </c>
      <c r="X21" s="213"/>
      <c r="Y21" s="206">
        <v>3</v>
      </c>
      <c r="Z21" s="208">
        <v>4</v>
      </c>
      <c r="AA21" s="93"/>
      <c r="AB21" s="224"/>
      <c r="AC21" s="224"/>
      <c r="AD21" s="93"/>
      <c r="AF21" s="69"/>
      <c r="AG21" s="69"/>
      <c r="AH21" s="69"/>
      <c r="AI21" s="69"/>
      <c r="AJ21" s="69"/>
      <c r="AK21" s="69"/>
      <c r="AL21" s="69"/>
      <c r="AM21" s="69"/>
      <c r="AN21" s="69"/>
    </row>
    <row r="22" spans="1:40" ht="13.5" customHeight="1">
      <c r="A22" s="217"/>
      <c r="B22" s="84" t="s">
        <v>451</v>
      </c>
      <c r="C22" s="85" t="s">
        <v>232</v>
      </c>
      <c r="D22" s="86" t="s">
        <v>226</v>
      </c>
      <c r="E22" s="86" t="s">
        <v>233</v>
      </c>
      <c r="F22" s="86" t="s">
        <v>260</v>
      </c>
      <c r="G22" s="92" t="s">
        <v>78</v>
      </c>
      <c r="H22" s="85" t="s">
        <v>228</v>
      </c>
      <c r="I22" s="86" t="s">
        <v>238</v>
      </c>
      <c r="J22" s="86" t="s">
        <v>239</v>
      </c>
      <c r="K22" s="86" t="s">
        <v>225</v>
      </c>
      <c r="L22" s="86" t="s">
        <v>78</v>
      </c>
      <c r="M22" s="210" t="s">
        <v>472</v>
      </c>
      <c r="N22" s="211"/>
      <c r="O22" s="211"/>
      <c r="P22" s="211"/>
      <c r="Q22" s="211"/>
      <c r="R22" s="85" t="s">
        <v>258</v>
      </c>
      <c r="S22" s="86" t="s">
        <v>237</v>
      </c>
      <c r="T22" s="86" t="s">
        <v>259</v>
      </c>
      <c r="U22" s="86" t="s">
        <v>78</v>
      </c>
      <c r="V22" s="86" t="s">
        <v>78</v>
      </c>
      <c r="W22" s="214"/>
      <c r="X22" s="215"/>
      <c r="Y22" s="207"/>
      <c r="Z22" s="209"/>
      <c r="AA22" s="93"/>
      <c r="AB22" s="224"/>
      <c r="AC22" s="224"/>
      <c r="AD22" s="93"/>
      <c r="AF22" s="69"/>
      <c r="AG22" s="69"/>
      <c r="AH22" s="69"/>
      <c r="AI22" s="69"/>
      <c r="AJ22" s="69"/>
      <c r="AK22" s="69"/>
      <c r="AL22" s="69"/>
      <c r="AM22" s="69"/>
      <c r="AN22" s="69"/>
    </row>
    <row r="23" spans="1:40" ht="13.5" customHeight="1">
      <c r="A23" s="216">
        <v>40</v>
      </c>
      <c r="B23" s="82" t="s">
        <v>433</v>
      </c>
      <c r="C23" s="218" t="s">
        <v>235</v>
      </c>
      <c r="D23" s="203"/>
      <c r="E23" s="203"/>
      <c r="F23" s="203"/>
      <c r="G23" s="219"/>
      <c r="H23" s="237" t="s">
        <v>229</v>
      </c>
      <c r="I23" s="238"/>
      <c r="J23" s="238"/>
      <c r="K23" s="238"/>
      <c r="L23" s="239"/>
      <c r="M23" s="218" t="s">
        <v>218</v>
      </c>
      <c r="N23" s="203"/>
      <c r="O23" s="203"/>
      <c r="P23" s="203"/>
      <c r="Q23" s="203"/>
      <c r="R23" s="220" t="s">
        <v>16</v>
      </c>
      <c r="S23" s="221"/>
      <c r="T23" s="221"/>
      <c r="U23" s="221"/>
      <c r="V23" s="221"/>
      <c r="W23" s="212" t="s">
        <v>502</v>
      </c>
      <c r="X23" s="213"/>
      <c r="Y23" s="206">
        <v>4</v>
      </c>
      <c r="Z23" s="208">
        <v>3</v>
      </c>
      <c r="AA23" s="93"/>
      <c r="AB23" s="224"/>
      <c r="AC23" s="224"/>
      <c r="AD23" s="93"/>
      <c r="AF23" s="69"/>
      <c r="AG23" s="69"/>
      <c r="AH23" s="69"/>
      <c r="AI23" s="69"/>
      <c r="AJ23" s="69"/>
      <c r="AK23" s="69"/>
      <c r="AL23" s="69"/>
      <c r="AM23" s="69"/>
      <c r="AN23" s="69"/>
    </row>
    <row r="24" spans="1:40" ht="13.5" customHeight="1">
      <c r="A24" s="217"/>
      <c r="B24" s="84" t="s">
        <v>434</v>
      </c>
      <c r="C24" s="85" t="s">
        <v>238</v>
      </c>
      <c r="D24" s="86" t="s">
        <v>260</v>
      </c>
      <c r="E24" s="86" t="s">
        <v>259</v>
      </c>
      <c r="F24" s="86" t="s">
        <v>78</v>
      </c>
      <c r="G24" s="92" t="s">
        <v>78</v>
      </c>
      <c r="H24" s="85" t="s">
        <v>253</v>
      </c>
      <c r="I24" s="86" t="s">
        <v>258</v>
      </c>
      <c r="J24" s="86" t="s">
        <v>233</v>
      </c>
      <c r="K24" s="86" t="s">
        <v>240</v>
      </c>
      <c r="L24" s="86" t="s">
        <v>20</v>
      </c>
      <c r="M24" s="85" t="s">
        <v>261</v>
      </c>
      <c r="N24" s="86" t="s">
        <v>227</v>
      </c>
      <c r="O24" s="86" t="s">
        <v>255</v>
      </c>
      <c r="P24" s="86" t="s">
        <v>78</v>
      </c>
      <c r="Q24" s="86" t="s">
        <v>78</v>
      </c>
      <c r="R24" s="210" t="s">
        <v>472</v>
      </c>
      <c r="S24" s="211"/>
      <c r="T24" s="211"/>
      <c r="U24" s="211"/>
      <c r="V24" s="211"/>
      <c r="W24" s="214"/>
      <c r="X24" s="215"/>
      <c r="Y24" s="207"/>
      <c r="Z24" s="209"/>
      <c r="AA24" s="93"/>
      <c r="AB24" s="224"/>
      <c r="AC24" s="224"/>
      <c r="AD24" s="93"/>
      <c r="AF24" s="69"/>
      <c r="AG24" s="69"/>
      <c r="AH24" s="69"/>
      <c r="AI24" s="69"/>
      <c r="AJ24" s="69"/>
      <c r="AK24" s="69"/>
      <c r="AL24" s="69"/>
      <c r="AM24" s="69"/>
      <c r="AN24" s="69"/>
    </row>
    <row r="25" spans="1:40" ht="13.5" customHeight="1">
      <c r="A25" s="98"/>
      <c r="B25" s="99"/>
      <c r="C25" s="100"/>
      <c r="D25" s="100"/>
      <c r="E25" s="100"/>
      <c r="F25" s="100"/>
      <c r="G25" s="100"/>
      <c r="H25" s="100"/>
      <c r="I25" s="100"/>
      <c r="J25" s="100"/>
      <c r="K25" s="100"/>
      <c r="L25" s="100"/>
      <c r="M25" s="100"/>
      <c r="N25" s="100"/>
      <c r="O25" s="100"/>
      <c r="P25" s="100"/>
      <c r="Q25" s="100"/>
      <c r="R25" s="100"/>
      <c r="S25" s="100"/>
      <c r="T25" s="100"/>
      <c r="U25" s="100"/>
      <c r="V25" s="100"/>
      <c r="W25" s="97"/>
      <c r="X25" s="97"/>
      <c r="Y25" s="97"/>
      <c r="Z25" s="97"/>
      <c r="AA25" s="93"/>
      <c r="AB25" s="224"/>
      <c r="AC25" s="224"/>
      <c r="AD25" s="93"/>
      <c r="AF25" s="69"/>
      <c r="AG25" s="69"/>
      <c r="AH25" s="69"/>
      <c r="AI25" s="69"/>
      <c r="AJ25" s="69"/>
      <c r="AK25" s="69"/>
      <c r="AL25" s="69"/>
      <c r="AM25" s="69"/>
      <c r="AN25" s="69"/>
    </row>
    <row r="26" spans="1:40" ht="15" customHeight="1">
      <c r="A26" s="75" t="s">
        <v>28</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93"/>
      <c r="AB26" s="224"/>
      <c r="AC26" s="224"/>
      <c r="AD26" s="93"/>
      <c r="AF26" s="69"/>
      <c r="AG26" s="69"/>
      <c r="AH26" s="69"/>
      <c r="AI26" s="69"/>
      <c r="AJ26" s="69"/>
      <c r="AK26" s="69"/>
      <c r="AL26" s="69"/>
      <c r="AM26" s="69"/>
      <c r="AN26" s="69"/>
    </row>
    <row r="27" spans="1:40" ht="13.5" customHeight="1">
      <c r="A27" s="79" t="s">
        <v>9</v>
      </c>
      <c r="B27" s="80" t="s">
        <v>10</v>
      </c>
      <c r="C27" s="232">
        <v>6</v>
      </c>
      <c r="D27" s="233"/>
      <c r="E27" s="233"/>
      <c r="F27" s="233"/>
      <c r="G27" s="234"/>
      <c r="H27" s="232">
        <v>19</v>
      </c>
      <c r="I27" s="233"/>
      <c r="J27" s="233"/>
      <c r="K27" s="233"/>
      <c r="L27" s="233"/>
      <c r="M27" s="232">
        <v>29</v>
      </c>
      <c r="N27" s="233"/>
      <c r="O27" s="233"/>
      <c r="P27" s="233"/>
      <c r="Q27" s="233"/>
      <c r="R27" s="232">
        <v>37</v>
      </c>
      <c r="S27" s="233"/>
      <c r="T27" s="233"/>
      <c r="U27" s="233"/>
      <c r="V27" s="233"/>
      <c r="W27" s="235" t="s">
        <v>11</v>
      </c>
      <c r="X27" s="236"/>
      <c r="Y27" s="81" t="s">
        <v>12</v>
      </c>
      <c r="Z27" s="81" t="s">
        <v>24</v>
      </c>
      <c r="AA27" s="93"/>
      <c r="AB27" s="224"/>
      <c r="AC27" s="224"/>
      <c r="AD27" s="93"/>
      <c r="AF27" s="69"/>
      <c r="AG27" s="69"/>
      <c r="AH27" s="69"/>
      <c r="AI27" s="69"/>
      <c r="AJ27" s="69"/>
      <c r="AK27" s="69"/>
      <c r="AL27" s="69"/>
      <c r="AM27" s="69"/>
      <c r="AN27" s="69"/>
    </row>
    <row r="28" spans="1:40" ht="13.5" customHeight="1">
      <c r="A28" s="231">
        <v>6</v>
      </c>
      <c r="B28" s="82" t="s">
        <v>289</v>
      </c>
      <c r="C28" s="220" t="s">
        <v>16</v>
      </c>
      <c r="D28" s="221"/>
      <c r="E28" s="221"/>
      <c r="F28" s="221"/>
      <c r="G28" s="227"/>
      <c r="H28" s="218" t="s">
        <v>229</v>
      </c>
      <c r="I28" s="203"/>
      <c r="J28" s="203"/>
      <c r="K28" s="203"/>
      <c r="L28" s="203"/>
      <c r="M28" s="218" t="s">
        <v>229</v>
      </c>
      <c r="N28" s="203"/>
      <c r="O28" s="203"/>
      <c r="P28" s="203"/>
      <c r="Q28" s="203"/>
      <c r="R28" s="218" t="s">
        <v>217</v>
      </c>
      <c r="S28" s="203"/>
      <c r="T28" s="203"/>
      <c r="U28" s="203"/>
      <c r="V28" s="203"/>
      <c r="W28" s="228" t="s">
        <v>521</v>
      </c>
      <c r="X28" s="229"/>
      <c r="Y28" s="225">
        <v>4</v>
      </c>
      <c r="Z28" s="226">
        <v>3</v>
      </c>
      <c r="AA28" s="93"/>
      <c r="AB28" s="224"/>
      <c r="AC28" s="224"/>
      <c r="AD28" s="93"/>
      <c r="AF28" s="69"/>
      <c r="AG28" s="69"/>
      <c r="AH28" s="69"/>
      <c r="AI28" s="69"/>
      <c r="AJ28" s="69"/>
      <c r="AK28" s="69"/>
      <c r="AL28" s="69"/>
      <c r="AM28" s="69"/>
      <c r="AN28" s="69"/>
    </row>
    <row r="29" spans="1:40" ht="13.5" customHeight="1">
      <c r="A29" s="217"/>
      <c r="B29" s="84" t="s">
        <v>469</v>
      </c>
      <c r="C29" s="210" t="s">
        <v>472</v>
      </c>
      <c r="D29" s="211"/>
      <c r="E29" s="211"/>
      <c r="F29" s="211"/>
      <c r="G29" s="230"/>
      <c r="H29" s="85" t="s">
        <v>253</v>
      </c>
      <c r="I29" s="86" t="s">
        <v>255</v>
      </c>
      <c r="J29" s="86" t="s">
        <v>223</v>
      </c>
      <c r="K29" s="86" t="s">
        <v>238</v>
      </c>
      <c r="L29" s="86" t="s">
        <v>508</v>
      </c>
      <c r="M29" s="85" t="s">
        <v>228</v>
      </c>
      <c r="N29" s="86" t="s">
        <v>232</v>
      </c>
      <c r="O29" s="86" t="s">
        <v>255</v>
      </c>
      <c r="P29" s="86" t="s">
        <v>238</v>
      </c>
      <c r="Q29" s="86" t="s">
        <v>29</v>
      </c>
      <c r="R29" s="87" t="s">
        <v>510</v>
      </c>
      <c r="S29" s="88" t="s">
        <v>238</v>
      </c>
      <c r="T29" s="88" t="s">
        <v>233</v>
      </c>
      <c r="U29" s="86" t="s">
        <v>233</v>
      </c>
      <c r="V29" s="88" t="s">
        <v>17</v>
      </c>
      <c r="W29" s="214"/>
      <c r="X29" s="215"/>
      <c r="Y29" s="207"/>
      <c r="Z29" s="209"/>
      <c r="AA29" s="93"/>
      <c r="AB29" s="224"/>
      <c r="AC29" s="224"/>
      <c r="AD29" s="93"/>
      <c r="AF29" s="69"/>
      <c r="AG29" s="69"/>
      <c r="AH29" s="69"/>
      <c r="AI29" s="69"/>
      <c r="AJ29" s="69"/>
      <c r="AK29" s="69"/>
      <c r="AL29" s="69"/>
      <c r="AM29" s="69"/>
      <c r="AN29" s="69"/>
    </row>
    <row r="30" spans="1:40" ht="13.5" customHeight="1">
      <c r="A30" s="216">
        <v>19</v>
      </c>
      <c r="B30" s="82" t="s">
        <v>356</v>
      </c>
      <c r="C30" s="218" t="s">
        <v>217</v>
      </c>
      <c r="D30" s="203"/>
      <c r="E30" s="203"/>
      <c r="F30" s="203"/>
      <c r="G30" s="219"/>
      <c r="H30" s="220" t="s">
        <v>16</v>
      </c>
      <c r="I30" s="221"/>
      <c r="J30" s="221"/>
      <c r="K30" s="221"/>
      <c r="L30" s="221"/>
      <c r="M30" s="218" t="s">
        <v>217</v>
      </c>
      <c r="N30" s="203"/>
      <c r="O30" s="203"/>
      <c r="P30" s="203"/>
      <c r="Q30" s="203"/>
      <c r="R30" s="222" t="s">
        <v>230</v>
      </c>
      <c r="S30" s="223"/>
      <c r="T30" s="223"/>
      <c r="U30" s="203"/>
      <c r="V30" s="223"/>
      <c r="W30" s="212" t="s">
        <v>517</v>
      </c>
      <c r="X30" s="213"/>
      <c r="Y30" s="206">
        <v>6</v>
      </c>
      <c r="Z30" s="208">
        <v>1</v>
      </c>
      <c r="AA30" s="93"/>
      <c r="AB30" s="224"/>
      <c r="AC30" s="224"/>
      <c r="AD30" s="93"/>
      <c r="AF30" s="69"/>
      <c r="AG30" s="69"/>
      <c r="AH30" s="69"/>
      <c r="AI30" s="69"/>
      <c r="AJ30" s="69"/>
      <c r="AK30" s="69"/>
      <c r="AL30" s="69"/>
      <c r="AM30" s="69"/>
      <c r="AN30" s="69"/>
    </row>
    <row r="31" spans="1:40" ht="13.5" customHeight="1">
      <c r="A31" s="217"/>
      <c r="B31" s="84" t="s">
        <v>457</v>
      </c>
      <c r="C31" s="85" t="s">
        <v>250</v>
      </c>
      <c r="D31" s="86" t="s">
        <v>259</v>
      </c>
      <c r="E31" s="86" t="s">
        <v>225</v>
      </c>
      <c r="F31" s="86" t="s">
        <v>233</v>
      </c>
      <c r="G31" s="92" t="s">
        <v>13</v>
      </c>
      <c r="H31" s="210" t="s">
        <v>472</v>
      </c>
      <c r="I31" s="211"/>
      <c r="J31" s="211"/>
      <c r="K31" s="211"/>
      <c r="L31" s="211"/>
      <c r="M31" s="85" t="s">
        <v>233</v>
      </c>
      <c r="N31" s="86" t="s">
        <v>238</v>
      </c>
      <c r="O31" s="86" t="s">
        <v>238</v>
      </c>
      <c r="P31" s="86" t="s">
        <v>244</v>
      </c>
      <c r="Q31" s="86" t="s">
        <v>15</v>
      </c>
      <c r="R31" s="85" t="s">
        <v>244</v>
      </c>
      <c r="S31" s="86" t="s">
        <v>225</v>
      </c>
      <c r="T31" s="86" t="s">
        <v>228</v>
      </c>
      <c r="U31" s="86" t="s">
        <v>520</v>
      </c>
      <c r="V31" s="86" t="s">
        <v>78</v>
      </c>
      <c r="W31" s="214"/>
      <c r="X31" s="215"/>
      <c r="Y31" s="207"/>
      <c r="Z31" s="209"/>
      <c r="AA31" s="93"/>
      <c r="AB31" s="224"/>
      <c r="AC31" s="224"/>
      <c r="AD31" s="93"/>
      <c r="AF31" s="69"/>
      <c r="AG31" s="69"/>
      <c r="AH31" s="69"/>
      <c r="AI31" s="69"/>
      <c r="AJ31" s="69"/>
      <c r="AK31" s="69"/>
      <c r="AL31" s="69"/>
      <c r="AM31" s="69"/>
      <c r="AN31" s="69"/>
    </row>
    <row r="32" spans="1:40" ht="13.5" customHeight="1">
      <c r="A32" s="216">
        <v>29</v>
      </c>
      <c r="B32" s="82" t="s">
        <v>446</v>
      </c>
      <c r="C32" s="218" t="s">
        <v>217</v>
      </c>
      <c r="D32" s="203"/>
      <c r="E32" s="203"/>
      <c r="F32" s="203"/>
      <c r="G32" s="219"/>
      <c r="H32" s="218" t="s">
        <v>229</v>
      </c>
      <c r="I32" s="203"/>
      <c r="J32" s="203"/>
      <c r="K32" s="203"/>
      <c r="L32" s="203"/>
      <c r="M32" s="220" t="s">
        <v>16</v>
      </c>
      <c r="N32" s="221"/>
      <c r="O32" s="221"/>
      <c r="P32" s="221"/>
      <c r="Q32" s="221"/>
      <c r="R32" s="222" t="s">
        <v>218</v>
      </c>
      <c r="S32" s="223"/>
      <c r="T32" s="223"/>
      <c r="U32" s="223"/>
      <c r="V32" s="223"/>
      <c r="W32" s="212" t="s">
        <v>252</v>
      </c>
      <c r="X32" s="213"/>
      <c r="Y32" s="206">
        <v>5</v>
      </c>
      <c r="Z32" s="208">
        <v>2</v>
      </c>
      <c r="AA32" s="93"/>
      <c r="AB32" s="224"/>
      <c r="AC32" s="224"/>
      <c r="AD32" s="93"/>
      <c r="AF32" s="69"/>
      <c r="AG32" s="69"/>
      <c r="AH32" s="69"/>
      <c r="AI32" s="69"/>
      <c r="AJ32" s="69"/>
      <c r="AK32" s="69"/>
      <c r="AL32" s="69"/>
      <c r="AM32" s="69"/>
      <c r="AN32" s="69"/>
    </row>
    <row r="33" spans="1:40" ht="13.5" customHeight="1">
      <c r="A33" s="217"/>
      <c r="B33" s="84" t="s">
        <v>447</v>
      </c>
      <c r="C33" s="85" t="s">
        <v>226</v>
      </c>
      <c r="D33" s="86" t="s">
        <v>224</v>
      </c>
      <c r="E33" s="86" t="s">
        <v>259</v>
      </c>
      <c r="F33" s="86" t="s">
        <v>233</v>
      </c>
      <c r="G33" s="92" t="s">
        <v>21</v>
      </c>
      <c r="H33" s="85" t="s">
        <v>238</v>
      </c>
      <c r="I33" s="86" t="s">
        <v>233</v>
      </c>
      <c r="J33" s="86" t="s">
        <v>233</v>
      </c>
      <c r="K33" s="86" t="s">
        <v>239</v>
      </c>
      <c r="L33" s="86" t="s">
        <v>20</v>
      </c>
      <c r="M33" s="210" t="s">
        <v>472</v>
      </c>
      <c r="N33" s="211"/>
      <c r="O33" s="211"/>
      <c r="P33" s="211"/>
      <c r="Q33" s="211"/>
      <c r="R33" s="85" t="s">
        <v>228</v>
      </c>
      <c r="S33" s="86" t="s">
        <v>223</v>
      </c>
      <c r="T33" s="86" t="s">
        <v>224</v>
      </c>
      <c r="U33" s="86" t="s">
        <v>78</v>
      </c>
      <c r="V33" s="86" t="s">
        <v>78</v>
      </c>
      <c r="W33" s="214"/>
      <c r="X33" s="215"/>
      <c r="Y33" s="207"/>
      <c r="Z33" s="209"/>
      <c r="AA33" s="93"/>
      <c r="AB33" s="224"/>
      <c r="AC33" s="224"/>
      <c r="AD33" s="93"/>
      <c r="AF33" s="69"/>
      <c r="AG33" s="69"/>
      <c r="AH33" s="69"/>
      <c r="AI33" s="69"/>
      <c r="AJ33" s="69"/>
      <c r="AK33" s="69"/>
      <c r="AL33" s="69"/>
      <c r="AM33" s="69"/>
      <c r="AN33" s="69"/>
    </row>
    <row r="34" spans="1:40" ht="13.5" customHeight="1">
      <c r="A34" s="216">
        <v>37</v>
      </c>
      <c r="B34" s="82" t="s">
        <v>300</v>
      </c>
      <c r="C34" s="218" t="s">
        <v>229</v>
      </c>
      <c r="D34" s="203"/>
      <c r="E34" s="203"/>
      <c r="F34" s="203"/>
      <c r="G34" s="219"/>
      <c r="H34" s="218" t="s">
        <v>241</v>
      </c>
      <c r="I34" s="203"/>
      <c r="J34" s="203"/>
      <c r="K34" s="203"/>
      <c r="L34" s="203"/>
      <c r="M34" s="218" t="s">
        <v>235</v>
      </c>
      <c r="N34" s="203"/>
      <c r="O34" s="203"/>
      <c r="P34" s="203"/>
      <c r="Q34" s="203"/>
      <c r="R34" s="220" t="s">
        <v>16</v>
      </c>
      <c r="S34" s="221"/>
      <c r="T34" s="221"/>
      <c r="U34" s="221"/>
      <c r="V34" s="221"/>
      <c r="W34" s="212" t="s">
        <v>514</v>
      </c>
      <c r="X34" s="213"/>
      <c r="Y34" s="206">
        <v>3</v>
      </c>
      <c r="Z34" s="208">
        <v>4</v>
      </c>
      <c r="AA34" s="93"/>
      <c r="AB34" s="224"/>
      <c r="AC34" s="224"/>
      <c r="AD34" s="93"/>
      <c r="AF34" s="69"/>
      <c r="AG34" s="69"/>
      <c r="AH34" s="69"/>
      <c r="AI34" s="69"/>
      <c r="AJ34" s="69"/>
      <c r="AK34" s="69"/>
      <c r="AL34" s="69"/>
      <c r="AM34" s="69"/>
      <c r="AN34" s="69"/>
    </row>
    <row r="35" spans="1:40" ht="13.5" customHeight="1">
      <c r="A35" s="217"/>
      <c r="B35" s="84" t="s">
        <v>436</v>
      </c>
      <c r="C35" s="85" t="s">
        <v>506</v>
      </c>
      <c r="D35" s="86" t="s">
        <v>233</v>
      </c>
      <c r="E35" s="86" t="s">
        <v>238</v>
      </c>
      <c r="F35" s="86" t="s">
        <v>238</v>
      </c>
      <c r="G35" s="92" t="s">
        <v>519</v>
      </c>
      <c r="H35" s="85" t="s">
        <v>239</v>
      </c>
      <c r="I35" s="86" t="s">
        <v>223</v>
      </c>
      <c r="J35" s="86" t="s">
        <v>226</v>
      </c>
      <c r="K35" s="86" t="s">
        <v>518</v>
      </c>
      <c r="L35" s="86" t="s">
        <v>78</v>
      </c>
      <c r="M35" s="85" t="s">
        <v>226</v>
      </c>
      <c r="N35" s="86" t="s">
        <v>225</v>
      </c>
      <c r="O35" s="86" t="s">
        <v>232</v>
      </c>
      <c r="P35" s="86" t="s">
        <v>78</v>
      </c>
      <c r="Q35" s="86" t="s">
        <v>78</v>
      </c>
      <c r="R35" s="210" t="s">
        <v>472</v>
      </c>
      <c r="S35" s="211"/>
      <c r="T35" s="211"/>
      <c r="U35" s="211"/>
      <c r="V35" s="211"/>
      <c r="W35" s="214"/>
      <c r="X35" s="215"/>
      <c r="Y35" s="207"/>
      <c r="Z35" s="209"/>
      <c r="AA35" s="93"/>
      <c r="AB35" s="224"/>
      <c r="AC35" s="224"/>
      <c r="AD35" s="93"/>
      <c r="AF35" s="69"/>
      <c r="AG35" s="69"/>
      <c r="AH35" s="69"/>
      <c r="AI35" s="69"/>
      <c r="AJ35" s="69"/>
      <c r="AK35" s="69"/>
      <c r="AL35" s="69"/>
      <c r="AM35" s="69"/>
      <c r="AN35" s="69"/>
    </row>
    <row r="36" spans="1:40" ht="13.5" customHeight="1">
      <c r="A36" s="104"/>
      <c r="B36" s="105"/>
      <c r="C36" s="106"/>
      <c r="D36" s="106"/>
      <c r="E36" s="106"/>
      <c r="F36" s="106"/>
      <c r="G36" s="106"/>
      <c r="H36" s="107"/>
      <c r="I36" s="107"/>
      <c r="J36" s="107"/>
      <c r="K36" s="107"/>
      <c r="L36" s="107"/>
      <c r="M36" s="107"/>
      <c r="N36" s="107"/>
      <c r="O36" s="107"/>
      <c r="P36" s="107"/>
      <c r="Q36" s="107"/>
      <c r="R36" s="107"/>
      <c r="S36" s="107"/>
      <c r="T36" s="107"/>
      <c r="U36" s="107"/>
      <c r="V36" s="107"/>
      <c r="W36" s="108"/>
      <c r="X36" s="109"/>
      <c r="Y36" s="110"/>
      <c r="Z36" s="94"/>
      <c r="AA36" s="93"/>
      <c r="AB36" s="224"/>
      <c r="AC36" s="224"/>
      <c r="AD36" s="93"/>
      <c r="AF36" s="69"/>
      <c r="AG36" s="69"/>
      <c r="AH36" s="69"/>
      <c r="AI36" s="69"/>
      <c r="AJ36" s="69"/>
      <c r="AK36" s="69"/>
      <c r="AL36" s="69"/>
      <c r="AM36" s="69"/>
      <c r="AN36" s="69"/>
    </row>
    <row r="37" spans="1:40" ht="15" customHeight="1">
      <c r="A37" s="75" t="s">
        <v>32</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93"/>
      <c r="AB37" s="224"/>
      <c r="AC37" s="224"/>
      <c r="AD37" s="93"/>
      <c r="AF37" s="69"/>
      <c r="AG37" s="69"/>
      <c r="AH37" s="69"/>
      <c r="AI37" s="69"/>
      <c r="AJ37" s="69"/>
      <c r="AK37" s="69"/>
      <c r="AL37" s="69"/>
      <c r="AM37" s="69"/>
      <c r="AN37" s="69"/>
    </row>
    <row r="38" spans="1:40" ht="13.5" customHeight="1">
      <c r="A38" s="79" t="s">
        <v>9</v>
      </c>
      <c r="B38" s="80" t="s">
        <v>10</v>
      </c>
      <c r="C38" s="232">
        <v>7</v>
      </c>
      <c r="D38" s="233"/>
      <c r="E38" s="233"/>
      <c r="F38" s="233"/>
      <c r="G38" s="234"/>
      <c r="H38" s="232">
        <v>21</v>
      </c>
      <c r="I38" s="233"/>
      <c r="J38" s="233"/>
      <c r="K38" s="233"/>
      <c r="L38" s="233"/>
      <c r="M38" s="232">
        <v>30</v>
      </c>
      <c r="N38" s="233"/>
      <c r="O38" s="233"/>
      <c r="P38" s="233"/>
      <c r="Q38" s="233"/>
      <c r="R38" s="232">
        <v>33</v>
      </c>
      <c r="S38" s="233"/>
      <c r="T38" s="233"/>
      <c r="U38" s="233"/>
      <c r="V38" s="233"/>
      <c r="W38" s="235" t="s">
        <v>11</v>
      </c>
      <c r="X38" s="236"/>
      <c r="Y38" s="81" t="s">
        <v>12</v>
      </c>
      <c r="Z38" s="81" t="s">
        <v>24</v>
      </c>
      <c r="AA38" s="93"/>
      <c r="AB38" s="224"/>
      <c r="AC38" s="224"/>
      <c r="AD38" s="93"/>
      <c r="AF38" s="69"/>
      <c r="AG38" s="69"/>
      <c r="AH38" s="69"/>
      <c r="AI38" s="69"/>
      <c r="AJ38" s="69"/>
      <c r="AK38" s="69"/>
      <c r="AL38" s="69"/>
      <c r="AM38" s="69"/>
      <c r="AN38" s="69"/>
    </row>
    <row r="39" spans="1:40" ht="13.5" customHeight="1">
      <c r="A39" s="231">
        <v>7</v>
      </c>
      <c r="B39" s="82" t="s">
        <v>246</v>
      </c>
      <c r="C39" s="220" t="s">
        <v>16</v>
      </c>
      <c r="D39" s="221"/>
      <c r="E39" s="221"/>
      <c r="F39" s="221"/>
      <c r="G39" s="227"/>
      <c r="H39" s="218" t="s">
        <v>217</v>
      </c>
      <c r="I39" s="203"/>
      <c r="J39" s="203"/>
      <c r="K39" s="203"/>
      <c r="L39" s="203"/>
      <c r="M39" s="218" t="s">
        <v>217</v>
      </c>
      <c r="N39" s="203"/>
      <c r="O39" s="203"/>
      <c r="P39" s="203"/>
      <c r="Q39" s="203"/>
      <c r="R39" s="218" t="s">
        <v>230</v>
      </c>
      <c r="S39" s="203"/>
      <c r="T39" s="203"/>
      <c r="U39" s="203"/>
      <c r="V39" s="203"/>
      <c r="W39" s="228" t="s">
        <v>517</v>
      </c>
      <c r="X39" s="229"/>
      <c r="Y39" s="225">
        <v>6</v>
      </c>
      <c r="Z39" s="226">
        <v>1</v>
      </c>
      <c r="AA39" s="93"/>
      <c r="AB39" s="224"/>
      <c r="AC39" s="224"/>
      <c r="AD39" s="93"/>
      <c r="AF39" s="69"/>
      <c r="AG39" s="69"/>
      <c r="AH39" s="69"/>
      <c r="AI39" s="69"/>
      <c r="AJ39" s="69"/>
      <c r="AK39" s="69"/>
      <c r="AL39" s="69"/>
      <c r="AM39" s="69"/>
      <c r="AN39" s="69"/>
    </row>
    <row r="40" spans="1:40" ht="13.5" customHeight="1">
      <c r="A40" s="217"/>
      <c r="B40" s="84" t="s">
        <v>468</v>
      </c>
      <c r="C40" s="210" t="s">
        <v>472</v>
      </c>
      <c r="D40" s="211"/>
      <c r="E40" s="211"/>
      <c r="F40" s="211"/>
      <c r="G40" s="230"/>
      <c r="H40" s="85" t="s">
        <v>238</v>
      </c>
      <c r="I40" s="86" t="s">
        <v>240</v>
      </c>
      <c r="J40" s="86" t="s">
        <v>224</v>
      </c>
      <c r="K40" s="86" t="s">
        <v>226</v>
      </c>
      <c r="L40" s="86" t="s">
        <v>15</v>
      </c>
      <c r="M40" s="85" t="s">
        <v>251</v>
      </c>
      <c r="N40" s="86" t="s">
        <v>239</v>
      </c>
      <c r="O40" s="86" t="s">
        <v>228</v>
      </c>
      <c r="P40" s="86" t="s">
        <v>238</v>
      </c>
      <c r="Q40" s="86" t="s">
        <v>27</v>
      </c>
      <c r="R40" s="87" t="s">
        <v>223</v>
      </c>
      <c r="S40" s="88" t="s">
        <v>232</v>
      </c>
      <c r="T40" s="88" t="s">
        <v>244</v>
      </c>
      <c r="U40" s="86" t="s">
        <v>227</v>
      </c>
      <c r="V40" s="88" t="s">
        <v>78</v>
      </c>
      <c r="W40" s="214"/>
      <c r="X40" s="215"/>
      <c r="Y40" s="207"/>
      <c r="Z40" s="209"/>
      <c r="AA40" s="93"/>
      <c r="AB40" s="224"/>
      <c r="AC40" s="224"/>
      <c r="AD40" s="93"/>
      <c r="AF40" s="69"/>
      <c r="AG40" s="69"/>
      <c r="AH40" s="69"/>
      <c r="AI40" s="69"/>
      <c r="AJ40" s="69"/>
      <c r="AK40" s="69"/>
      <c r="AL40" s="69"/>
      <c r="AM40" s="69"/>
      <c r="AN40" s="69"/>
    </row>
    <row r="41" spans="1:40" ht="13.5" customHeight="1">
      <c r="A41" s="216">
        <v>21</v>
      </c>
      <c r="B41" s="82" t="s">
        <v>248</v>
      </c>
      <c r="C41" s="218" t="s">
        <v>229</v>
      </c>
      <c r="D41" s="203"/>
      <c r="E41" s="203"/>
      <c r="F41" s="203"/>
      <c r="G41" s="219"/>
      <c r="H41" s="220" t="s">
        <v>16</v>
      </c>
      <c r="I41" s="221"/>
      <c r="J41" s="221"/>
      <c r="K41" s="221"/>
      <c r="L41" s="221"/>
      <c r="M41" s="218" t="s">
        <v>218</v>
      </c>
      <c r="N41" s="203"/>
      <c r="O41" s="203"/>
      <c r="P41" s="203"/>
      <c r="Q41" s="203"/>
      <c r="R41" s="222" t="s">
        <v>218</v>
      </c>
      <c r="S41" s="223"/>
      <c r="T41" s="223"/>
      <c r="U41" s="203"/>
      <c r="V41" s="223"/>
      <c r="W41" s="212" t="s">
        <v>509</v>
      </c>
      <c r="X41" s="213"/>
      <c r="Y41" s="206">
        <v>5</v>
      </c>
      <c r="Z41" s="208">
        <v>2</v>
      </c>
      <c r="AA41" s="93"/>
      <c r="AB41" s="224"/>
      <c r="AC41" s="224"/>
      <c r="AD41" s="93"/>
      <c r="AF41" s="69"/>
      <c r="AG41" s="69"/>
      <c r="AH41" s="69"/>
      <c r="AI41" s="69"/>
      <c r="AJ41" s="69"/>
      <c r="AK41" s="69"/>
      <c r="AL41" s="69"/>
      <c r="AM41" s="69"/>
      <c r="AN41" s="69"/>
    </row>
    <row r="42" spans="1:40" ht="13.5" customHeight="1">
      <c r="A42" s="217"/>
      <c r="B42" s="84" t="s">
        <v>455</v>
      </c>
      <c r="C42" s="85" t="s">
        <v>233</v>
      </c>
      <c r="D42" s="86" t="s">
        <v>245</v>
      </c>
      <c r="E42" s="86" t="s">
        <v>232</v>
      </c>
      <c r="F42" s="86" t="s">
        <v>228</v>
      </c>
      <c r="G42" s="92" t="s">
        <v>20</v>
      </c>
      <c r="H42" s="210" t="s">
        <v>472</v>
      </c>
      <c r="I42" s="211"/>
      <c r="J42" s="211"/>
      <c r="K42" s="211"/>
      <c r="L42" s="211"/>
      <c r="M42" s="85" t="s">
        <v>224</v>
      </c>
      <c r="N42" s="86" t="s">
        <v>223</v>
      </c>
      <c r="O42" s="86" t="s">
        <v>240</v>
      </c>
      <c r="P42" s="86" t="s">
        <v>78</v>
      </c>
      <c r="Q42" s="86" t="s">
        <v>78</v>
      </c>
      <c r="R42" s="85" t="s">
        <v>244</v>
      </c>
      <c r="S42" s="86" t="s">
        <v>227</v>
      </c>
      <c r="T42" s="86" t="s">
        <v>244</v>
      </c>
      <c r="U42" s="86" t="s">
        <v>78</v>
      </c>
      <c r="V42" s="86" t="s">
        <v>78</v>
      </c>
      <c r="W42" s="214"/>
      <c r="X42" s="215"/>
      <c r="Y42" s="207"/>
      <c r="Z42" s="209"/>
      <c r="AA42" s="93"/>
      <c r="AB42" s="224"/>
      <c r="AC42" s="224"/>
      <c r="AD42" s="93"/>
      <c r="AF42" s="69"/>
      <c r="AG42" s="69"/>
      <c r="AH42" s="69"/>
      <c r="AI42" s="69"/>
      <c r="AJ42" s="69"/>
      <c r="AK42" s="69"/>
      <c r="AL42" s="69"/>
      <c r="AM42" s="69"/>
      <c r="AN42" s="69"/>
    </row>
    <row r="43" spans="1:40" ht="13.5" customHeight="1">
      <c r="A43" s="216">
        <v>30</v>
      </c>
      <c r="B43" s="82" t="s">
        <v>304</v>
      </c>
      <c r="C43" s="218" t="s">
        <v>229</v>
      </c>
      <c r="D43" s="203"/>
      <c r="E43" s="203"/>
      <c r="F43" s="203"/>
      <c r="G43" s="219"/>
      <c r="H43" s="218" t="s">
        <v>235</v>
      </c>
      <c r="I43" s="203"/>
      <c r="J43" s="203"/>
      <c r="K43" s="203"/>
      <c r="L43" s="203"/>
      <c r="M43" s="220" t="s">
        <v>16</v>
      </c>
      <c r="N43" s="221"/>
      <c r="O43" s="221"/>
      <c r="P43" s="221"/>
      <c r="Q43" s="221"/>
      <c r="R43" s="222" t="s">
        <v>217</v>
      </c>
      <c r="S43" s="223"/>
      <c r="T43" s="223"/>
      <c r="U43" s="223"/>
      <c r="V43" s="223"/>
      <c r="W43" s="212" t="s">
        <v>257</v>
      </c>
      <c r="X43" s="213"/>
      <c r="Y43" s="206">
        <v>4</v>
      </c>
      <c r="Z43" s="208">
        <v>3</v>
      </c>
      <c r="AA43" s="93"/>
      <c r="AB43" s="224"/>
      <c r="AC43" s="224"/>
      <c r="AD43" s="93"/>
      <c r="AF43" s="69"/>
      <c r="AG43" s="69"/>
      <c r="AH43" s="69"/>
      <c r="AI43" s="69"/>
      <c r="AJ43" s="69"/>
      <c r="AK43" s="69"/>
      <c r="AL43" s="69"/>
      <c r="AM43" s="69"/>
      <c r="AN43" s="69"/>
    </row>
    <row r="44" spans="1:40" ht="13.5" customHeight="1">
      <c r="A44" s="217"/>
      <c r="B44" s="84" t="s">
        <v>445</v>
      </c>
      <c r="C44" s="85" t="s">
        <v>254</v>
      </c>
      <c r="D44" s="86" t="s">
        <v>244</v>
      </c>
      <c r="E44" s="86" t="s">
        <v>226</v>
      </c>
      <c r="F44" s="86" t="s">
        <v>233</v>
      </c>
      <c r="G44" s="92" t="s">
        <v>516</v>
      </c>
      <c r="H44" s="85" t="s">
        <v>232</v>
      </c>
      <c r="I44" s="86" t="s">
        <v>225</v>
      </c>
      <c r="J44" s="86" t="s">
        <v>245</v>
      </c>
      <c r="K44" s="86" t="s">
        <v>78</v>
      </c>
      <c r="L44" s="86" t="s">
        <v>78</v>
      </c>
      <c r="M44" s="210" t="s">
        <v>472</v>
      </c>
      <c r="N44" s="211"/>
      <c r="O44" s="211"/>
      <c r="P44" s="211"/>
      <c r="Q44" s="211"/>
      <c r="R44" s="85" t="s">
        <v>238</v>
      </c>
      <c r="S44" s="86" t="s">
        <v>232</v>
      </c>
      <c r="T44" s="86" t="s">
        <v>224</v>
      </c>
      <c r="U44" s="86" t="s">
        <v>233</v>
      </c>
      <c r="V44" s="86" t="s">
        <v>15</v>
      </c>
      <c r="W44" s="214"/>
      <c r="X44" s="215"/>
      <c r="Y44" s="207"/>
      <c r="Z44" s="209"/>
      <c r="AA44" s="93"/>
      <c r="AB44" s="224"/>
      <c r="AC44" s="224"/>
      <c r="AD44" s="93"/>
      <c r="AF44" s="69"/>
      <c r="AG44" s="69"/>
      <c r="AH44" s="69"/>
      <c r="AI44" s="69"/>
      <c r="AJ44" s="69"/>
      <c r="AK44" s="69"/>
      <c r="AL44" s="69"/>
      <c r="AM44" s="69"/>
      <c r="AN44" s="69"/>
    </row>
    <row r="45" spans="1:40" ht="13.5" customHeight="1">
      <c r="A45" s="216">
        <v>33</v>
      </c>
      <c r="B45" s="82" t="s">
        <v>440</v>
      </c>
      <c r="C45" s="218" t="s">
        <v>241</v>
      </c>
      <c r="D45" s="203"/>
      <c r="E45" s="203"/>
      <c r="F45" s="203"/>
      <c r="G45" s="219"/>
      <c r="H45" s="218" t="s">
        <v>235</v>
      </c>
      <c r="I45" s="203"/>
      <c r="J45" s="203"/>
      <c r="K45" s="203"/>
      <c r="L45" s="203"/>
      <c r="M45" s="218" t="s">
        <v>229</v>
      </c>
      <c r="N45" s="203"/>
      <c r="O45" s="203"/>
      <c r="P45" s="203"/>
      <c r="Q45" s="203"/>
      <c r="R45" s="220" t="s">
        <v>16</v>
      </c>
      <c r="S45" s="221"/>
      <c r="T45" s="221"/>
      <c r="U45" s="221"/>
      <c r="V45" s="221"/>
      <c r="W45" s="212" t="s">
        <v>514</v>
      </c>
      <c r="X45" s="213"/>
      <c r="Y45" s="206">
        <v>3</v>
      </c>
      <c r="Z45" s="208">
        <v>4</v>
      </c>
      <c r="AA45" s="69"/>
      <c r="AB45" s="69"/>
      <c r="AC45" s="69"/>
      <c r="AD45" s="69"/>
      <c r="AE45" s="69"/>
      <c r="AF45" s="69"/>
      <c r="AG45" s="69"/>
      <c r="AH45" s="69"/>
      <c r="AI45" s="69"/>
      <c r="AJ45" s="69"/>
      <c r="AK45" s="69"/>
      <c r="AL45" s="69"/>
      <c r="AM45" s="69"/>
      <c r="AN45" s="69"/>
    </row>
    <row r="46" spans="1:40" ht="13.5" customHeight="1">
      <c r="A46" s="217"/>
      <c r="B46" s="84" t="s">
        <v>441</v>
      </c>
      <c r="C46" s="85" t="s">
        <v>225</v>
      </c>
      <c r="D46" s="86" t="s">
        <v>224</v>
      </c>
      <c r="E46" s="86" t="s">
        <v>239</v>
      </c>
      <c r="F46" s="86" t="s">
        <v>237</v>
      </c>
      <c r="G46" s="92" t="s">
        <v>78</v>
      </c>
      <c r="H46" s="85" t="s">
        <v>239</v>
      </c>
      <c r="I46" s="86" t="s">
        <v>237</v>
      </c>
      <c r="J46" s="86" t="s">
        <v>239</v>
      </c>
      <c r="K46" s="86" t="s">
        <v>78</v>
      </c>
      <c r="L46" s="86" t="s">
        <v>78</v>
      </c>
      <c r="M46" s="85" t="s">
        <v>233</v>
      </c>
      <c r="N46" s="86" t="s">
        <v>224</v>
      </c>
      <c r="O46" s="86" t="s">
        <v>232</v>
      </c>
      <c r="P46" s="86" t="s">
        <v>238</v>
      </c>
      <c r="Q46" s="86" t="s">
        <v>20</v>
      </c>
      <c r="R46" s="210" t="s">
        <v>472</v>
      </c>
      <c r="S46" s="211"/>
      <c r="T46" s="211"/>
      <c r="U46" s="211"/>
      <c r="V46" s="211"/>
      <c r="W46" s="214"/>
      <c r="X46" s="215"/>
      <c r="Y46" s="207"/>
      <c r="Z46" s="209"/>
      <c r="AA46" s="113"/>
      <c r="AB46" s="69"/>
      <c r="AC46" s="69"/>
      <c r="AD46" s="69"/>
      <c r="AE46" s="69"/>
      <c r="AF46" s="69"/>
      <c r="AG46" s="69"/>
      <c r="AH46" s="69"/>
      <c r="AI46" s="69"/>
      <c r="AJ46" s="69"/>
      <c r="AK46" s="69"/>
      <c r="AL46" s="69"/>
      <c r="AM46" s="69"/>
      <c r="AN46" s="69"/>
    </row>
    <row r="47" spans="1:26" ht="17.25" customHeight="1">
      <c r="A47" s="69"/>
      <c r="B47" s="114"/>
      <c r="C47" s="69"/>
      <c r="D47" s="69"/>
      <c r="E47" s="69"/>
      <c r="F47" s="69"/>
      <c r="G47" s="69"/>
      <c r="H47" s="69"/>
      <c r="I47" s="69"/>
      <c r="J47" s="69"/>
      <c r="K47" s="69"/>
      <c r="L47" s="69"/>
      <c r="M47" s="69"/>
      <c r="N47" s="69"/>
      <c r="O47" s="69"/>
      <c r="P47" s="69"/>
      <c r="Q47" s="69"/>
      <c r="R47" s="69"/>
      <c r="S47" s="69"/>
      <c r="T47" s="69"/>
      <c r="U47" s="69"/>
      <c r="V47" s="69"/>
      <c r="W47" s="69"/>
      <c r="X47" s="69"/>
      <c r="Y47" s="74"/>
      <c r="Z47" s="74"/>
    </row>
    <row r="48" spans="1:26" ht="15" customHeight="1">
      <c r="A48" s="95" t="s">
        <v>515</v>
      </c>
      <c r="B48" s="96"/>
      <c r="C48" s="96"/>
      <c r="D48" s="96"/>
      <c r="E48" s="96"/>
      <c r="F48" s="96"/>
      <c r="G48" s="96"/>
      <c r="H48" s="96"/>
      <c r="I48" s="96"/>
      <c r="J48" s="96"/>
      <c r="K48" s="96"/>
      <c r="L48" s="96"/>
      <c r="M48" s="96"/>
      <c r="N48" s="96"/>
      <c r="O48" s="96"/>
      <c r="P48" s="96"/>
      <c r="Q48" s="96"/>
      <c r="R48" s="96"/>
      <c r="S48" s="96"/>
      <c r="T48" s="96"/>
      <c r="U48" s="96"/>
      <c r="V48" s="96"/>
      <c r="W48" s="96"/>
      <c r="X48" s="96"/>
      <c r="Y48" s="96"/>
      <c r="Z48" s="96"/>
    </row>
    <row r="49" spans="1:26" s="77" customFormat="1" ht="13.5" customHeight="1">
      <c r="A49" s="115" t="s">
        <v>9</v>
      </c>
      <c r="B49" s="99" t="s">
        <v>10</v>
      </c>
      <c r="C49" s="204">
        <v>8</v>
      </c>
      <c r="D49" s="204"/>
      <c r="E49" s="204"/>
      <c r="F49" s="204"/>
      <c r="G49" s="204"/>
      <c r="H49" s="204">
        <v>13</v>
      </c>
      <c r="I49" s="204"/>
      <c r="J49" s="204"/>
      <c r="K49" s="204"/>
      <c r="L49" s="204"/>
      <c r="M49" s="204">
        <v>23</v>
      </c>
      <c r="N49" s="204"/>
      <c r="O49" s="204"/>
      <c r="P49" s="204"/>
      <c r="Q49" s="204"/>
      <c r="R49" s="204">
        <v>42</v>
      </c>
      <c r="S49" s="204"/>
      <c r="T49" s="204"/>
      <c r="U49" s="204"/>
      <c r="V49" s="204"/>
      <c r="W49" s="205" t="s">
        <v>11</v>
      </c>
      <c r="X49" s="205"/>
      <c r="Y49" s="97" t="s">
        <v>12</v>
      </c>
      <c r="Z49" s="97" t="s">
        <v>24</v>
      </c>
    </row>
    <row r="50" spans="1:26" s="77" customFormat="1" ht="13.5" customHeight="1">
      <c r="A50" s="202">
        <v>8</v>
      </c>
      <c r="B50" s="105" t="s">
        <v>356</v>
      </c>
      <c r="C50" s="201" t="s">
        <v>16</v>
      </c>
      <c r="D50" s="201"/>
      <c r="E50" s="201"/>
      <c r="F50" s="201"/>
      <c r="G50" s="201"/>
      <c r="H50" s="203" t="s">
        <v>229</v>
      </c>
      <c r="I50" s="203"/>
      <c r="J50" s="203"/>
      <c r="K50" s="203"/>
      <c r="L50" s="203"/>
      <c r="M50" s="203" t="s">
        <v>235</v>
      </c>
      <c r="N50" s="203"/>
      <c r="O50" s="203"/>
      <c r="P50" s="203"/>
      <c r="Q50" s="203"/>
      <c r="R50" s="203" t="s">
        <v>241</v>
      </c>
      <c r="S50" s="203"/>
      <c r="T50" s="203"/>
      <c r="U50" s="203"/>
      <c r="V50" s="203"/>
      <c r="W50" s="198" t="s">
        <v>514</v>
      </c>
      <c r="X50" s="198"/>
      <c r="Y50" s="199">
        <v>3</v>
      </c>
      <c r="Z50" s="200">
        <v>4</v>
      </c>
    </row>
    <row r="51" spans="1:26" s="77" customFormat="1" ht="13.5" customHeight="1">
      <c r="A51" s="202"/>
      <c r="B51" s="116" t="s">
        <v>467</v>
      </c>
      <c r="C51" s="201" t="s">
        <v>472</v>
      </c>
      <c r="D51" s="201"/>
      <c r="E51" s="201"/>
      <c r="F51" s="201"/>
      <c r="G51" s="201"/>
      <c r="H51" s="88" t="s">
        <v>261</v>
      </c>
      <c r="I51" s="88" t="s">
        <v>223</v>
      </c>
      <c r="J51" s="88" t="s">
        <v>238</v>
      </c>
      <c r="K51" s="88" t="s">
        <v>258</v>
      </c>
      <c r="L51" s="88" t="s">
        <v>513</v>
      </c>
      <c r="M51" s="88" t="s">
        <v>226</v>
      </c>
      <c r="N51" s="88" t="s">
        <v>258</v>
      </c>
      <c r="O51" s="88" t="s">
        <v>232</v>
      </c>
      <c r="P51" s="88" t="s">
        <v>78</v>
      </c>
      <c r="Q51" s="88" t="s">
        <v>78</v>
      </c>
      <c r="R51" s="88" t="s">
        <v>228</v>
      </c>
      <c r="S51" s="88" t="s">
        <v>226</v>
      </c>
      <c r="T51" s="88" t="s">
        <v>239</v>
      </c>
      <c r="U51" s="88" t="s">
        <v>225</v>
      </c>
      <c r="V51" s="88" t="s">
        <v>78</v>
      </c>
      <c r="W51" s="198"/>
      <c r="X51" s="198"/>
      <c r="Y51" s="199"/>
      <c r="Z51" s="200"/>
    </row>
    <row r="52" spans="1:26" s="77" customFormat="1" ht="13.5" customHeight="1">
      <c r="A52" s="202">
        <v>13</v>
      </c>
      <c r="B52" s="105" t="s">
        <v>461</v>
      </c>
      <c r="C52" s="203" t="s">
        <v>217</v>
      </c>
      <c r="D52" s="203"/>
      <c r="E52" s="203"/>
      <c r="F52" s="203"/>
      <c r="G52" s="203"/>
      <c r="H52" s="201" t="s">
        <v>16</v>
      </c>
      <c r="I52" s="201"/>
      <c r="J52" s="201"/>
      <c r="K52" s="201"/>
      <c r="L52" s="201"/>
      <c r="M52" s="203" t="s">
        <v>217</v>
      </c>
      <c r="N52" s="203"/>
      <c r="O52" s="203"/>
      <c r="P52" s="203"/>
      <c r="Q52" s="203"/>
      <c r="R52" s="203" t="s">
        <v>217</v>
      </c>
      <c r="S52" s="203"/>
      <c r="T52" s="203"/>
      <c r="U52" s="203"/>
      <c r="V52" s="203"/>
      <c r="W52" s="198" t="s">
        <v>512</v>
      </c>
      <c r="X52" s="198"/>
      <c r="Y52" s="199">
        <v>6</v>
      </c>
      <c r="Z52" s="200">
        <v>1</v>
      </c>
    </row>
    <row r="53" spans="1:26" s="77" customFormat="1" ht="13.5" customHeight="1">
      <c r="A53" s="202"/>
      <c r="B53" s="116" t="s">
        <v>462</v>
      </c>
      <c r="C53" s="88" t="s">
        <v>258</v>
      </c>
      <c r="D53" s="88" t="s">
        <v>225</v>
      </c>
      <c r="E53" s="88" t="s">
        <v>233</v>
      </c>
      <c r="F53" s="88" t="s">
        <v>261</v>
      </c>
      <c r="G53" s="88" t="s">
        <v>511</v>
      </c>
      <c r="H53" s="201" t="s">
        <v>472</v>
      </c>
      <c r="I53" s="201"/>
      <c r="J53" s="201"/>
      <c r="K53" s="201"/>
      <c r="L53" s="201"/>
      <c r="M53" s="88" t="s">
        <v>510</v>
      </c>
      <c r="N53" s="88" t="s">
        <v>258</v>
      </c>
      <c r="O53" s="88" t="s">
        <v>224</v>
      </c>
      <c r="P53" s="88" t="s">
        <v>244</v>
      </c>
      <c r="Q53" s="88" t="s">
        <v>13</v>
      </c>
      <c r="R53" s="88" t="s">
        <v>232</v>
      </c>
      <c r="S53" s="88" t="s">
        <v>510</v>
      </c>
      <c r="T53" s="88" t="s">
        <v>223</v>
      </c>
      <c r="U53" s="88" t="s">
        <v>228</v>
      </c>
      <c r="V53" s="88" t="s">
        <v>19</v>
      </c>
      <c r="W53" s="198"/>
      <c r="X53" s="198"/>
      <c r="Y53" s="199"/>
      <c r="Z53" s="200"/>
    </row>
    <row r="54" spans="1:26" s="77" customFormat="1" ht="13.5" customHeight="1">
      <c r="A54" s="202">
        <v>23</v>
      </c>
      <c r="B54" s="105" t="s">
        <v>248</v>
      </c>
      <c r="C54" s="203" t="s">
        <v>218</v>
      </c>
      <c r="D54" s="203"/>
      <c r="E54" s="203"/>
      <c r="F54" s="203"/>
      <c r="G54" s="203"/>
      <c r="H54" s="203" t="s">
        <v>229</v>
      </c>
      <c r="I54" s="203"/>
      <c r="J54" s="203"/>
      <c r="K54" s="203"/>
      <c r="L54" s="203"/>
      <c r="M54" s="201" t="s">
        <v>16</v>
      </c>
      <c r="N54" s="201"/>
      <c r="O54" s="201"/>
      <c r="P54" s="201"/>
      <c r="Q54" s="201"/>
      <c r="R54" s="203" t="s">
        <v>218</v>
      </c>
      <c r="S54" s="203"/>
      <c r="T54" s="203"/>
      <c r="U54" s="203"/>
      <c r="V54" s="203"/>
      <c r="W54" s="198" t="s">
        <v>509</v>
      </c>
      <c r="X54" s="198"/>
      <c r="Y54" s="199">
        <v>5</v>
      </c>
      <c r="Z54" s="200">
        <v>2</v>
      </c>
    </row>
    <row r="55" spans="1:26" s="77" customFormat="1" ht="13.5" customHeight="1">
      <c r="A55" s="202"/>
      <c r="B55" s="116" t="s">
        <v>453</v>
      </c>
      <c r="C55" s="88" t="s">
        <v>228</v>
      </c>
      <c r="D55" s="88" t="s">
        <v>261</v>
      </c>
      <c r="E55" s="88" t="s">
        <v>224</v>
      </c>
      <c r="F55" s="88" t="s">
        <v>78</v>
      </c>
      <c r="G55" s="88" t="s">
        <v>78</v>
      </c>
      <c r="H55" s="88" t="s">
        <v>506</v>
      </c>
      <c r="I55" s="88" t="s">
        <v>261</v>
      </c>
      <c r="J55" s="88" t="s">
        <v>232</v>
      </c>
      <c r="K55" s="88" t="s">
        <v>239</v>
      </c>
      <c r="L55" s="88" t="s">
        <v>508</v>
      </c>
      <c r="M55" s="201" t="s">
        <v>472</v>
      </c>
      <c r="N55" s="201"/>
      <c r="O55" s="201"/>
      <c r="P55" s="201"/>
      <c r="Q55" s="201"/>
      <c r="R55" s="88" t="s">
        <v>228</v>
      </c>
      <c r="S55" s="88" t="s">
        <v>228</v>
      </c>
      <c r="T55" s="88" t="s">
        <v>224</v>
      </c>
      <c r="U55" s="88" t="s">
        <v>78</v>
      </c>
      <c r="V55" s="88" t="s">
        <v>78</v>
      </c>
      <c r="W55" s="198"/>
      <c r="X55" s="198"/>
      <c r="Y55" s="199"/>
      <c r="Z55" s="200"/>
    </row>
    <row r="56" spans="1:26" s="77" customFormat="1" ht="13.5" customHeight="1">
      <c r="A56" s="202">
        <v>42</v>
      </c>
      <c r="B56" s="105" t="s">
        <v>385</v>
      </c>
      <c r="C56" s="203" t="s">
        <v>230</v>
      </c>
      <c r="D56" s="203"/>
      <c r="E56" s="203"/>
      <c r="F56" s="203"/>
      <c r="G56" s="203"/>
      <c r="H56" s="203" t="s">
        <v>229</v>
      </c>
      <c r="I56" s="203"/>
      <c r="J56" s="203"/>
      <c r="K56" s="203"/>
      <c r="L56" s="203"/>
      <c r="M56" s="203" t="s">
        <v>235</v>
      </c>
      <c r="N56" s="203"/>
      <c r="O56" s="203"/>
      <c r="P56" s="203"/>
      <c r="Q56" s="203"/>
      <c r="R56" s="201" t="s">
        <v>16</v>
      </c>
      <c r="S56" s="201"/>
      <c r="T56" s="201"/>
      <c r="U56" s="201"/>
      <c r="V56" s="201"/>
      <c r="W56" s="198" t="s">
        <v>507</v>
      </c>
      <c r="X56" s="198"/>
      <c r="Y56" s="199">
        <v>4</v>
      </c>
      <c r="Z56" s="200">
        <v>3</v>
      </c>
    </row>
    <row r="57" spans="1:26" s="77" customFormat="1" ht="13.5" customHeight="1">
      <c r="A57" s="202"/>
      <c r="B57" s="116" t="s">
        <v>431</v>
      </c>
      <c r="C57" s="88" t="s">
        <v>226</v>
      </c>
      <c r="D57" s="88" t="s">
        <v>228</v>
      </c>
      <c r="E57" s="88" t="s">
        <v>244</v>
      </c>
      <c r="F57" s="88" t="s">
        <v>223</v>
      </c>
      <c r="G57" s="88" t="s">
        <v>78</v>
      </c>
      <c r="H57" s="88" t="s">
        <v>224</v>
      </c>
      <c r="I57" s="88" t="s">
        <v>506</v>
      </c>
      <c r="J57" s="88" t="s">
        <v>225</v>
      </c>
      <c r="K57" s="88" t="s">
        <v>226</v>
      </c>
      <c r="L57" s="88" t="s">
        <v>26</v>
      </c>
      <c r="M57" s="88" t="s">
        <v>226</v>
      </c>
      <c r="N57" s="88" t="s">
        <v>226</v>
      </c>
      <c r="O57" s="88" t="s">
        <v>232</v>
      </c>
      <c r="P57" s="88" t="s">
        <v>78</v>
      </c>
      <c r="Q57" s="88" t="s">
        <v>78</v>
      </c>
      <c r="R57" s="201" t="s">
        <v>472</v>
      </c>
      <c r="S57" s="201"/>
      <c r="T57" s="201"/>
      <c r="U57" s="201"/>
      <c r="V57" s="201"/>
      <c r="W57" s="198"/>
      <c r="X57" s="198"/>
      <c r="Y57" s="199"/>
      <c r="Z57" s="200"/>
    </row>
    <row r="58" spans="1:26" s="77" customFormat="1" ht="13.5" customHeight="1">
      <c r="A58" s="95"/>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1:26" s="77" customFormat="1" ht="15" customHeight="1">
      <c r="A59" s="95" t="s">
        <v>505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s="77" customFormat="1" ht="13.5" customHeight="1">
      <c r="A60" s="115" t="s">
        <v>9</v>
      </c>
      <c r="B60" s="99" t="s">
        <v>10</v>
      </c>
      <c r="C60" s="204">
        <v>9</v>
      </c>
      <c r="D60" s="204"/>
      <c r="E60" s="204"/>
      <c r="F60" s="204"/>
      <c r="G60" s="204"/>
      <c r="H60" s="204">
        <v>20</v>
      </c>
      <c r="I60" s="204"/>
      <c r="J60" s="204"/>
      <c r="K60" s="204"/>
      <c r="L60" s="204"/>
      <c r="M60" s="204">
        <v>26</v>
      </c>
      <c r="N60" s="204"/>
      <c r="O60" s="204"/>
      <c r="P60" s="204"/>
      <c r="Q60" s="204"/>
      <c r="R60" s="204">
        <v>36</v>
      </c>
      <c r="S60" s="204"/>
      <c r="T60" s="204"/>
      <c r="U60" s="204"/>
      <c r="V60" s="204"/>
      <c r="W60" s="205" t="s">
        <v>11</v>
      </c>
      <c r="X60" s="205"/>
      <c r="Y60" s="97" t="s">
        <v>12</v>
      </c>
      <c r="Z60" s="97" t="s">
        <v>24</v>
      </c>
    </row>
    <row r="61" spans="1:26" s="77" customFormat="1" ht="13.5" customHeight="1">
      <c r="A61" s="202">
        <v>9</v>
      </c>
      <c r="B61" s="105" t="s">
        <v>461</v>
      </c>
      <c r="C61" s="201" t="s">
        <v>16</v>
      </c>
      <c r="D61" s="201"/>
      <c r="E61" s="201"/>
      <c r="F61" s="201"/>
      <c r="G61" s="201"/>
      <c r="H61" s="203" t="s">
        <v>218</v>
      </c>
      <c r="I61" s="203"/>
      <c r="J61" s="203"/>
      <c r="K61" s="203"/>
      <c r="L61" s="203"/>
      <c r="M61" s="203" t="s">
        <v>218</v>
      </c>
      <c r="N61" s="203"/>
      <c r="O61" s="203"/>
      <c r="P61" s="203"/>
      <c r="Q61" s="203"/>
      <c r="R61" s="203" t="s">
        <v>218</v>
      </c>
      <c r="S61" s="203"/>
      <c r="T61" s="203"/>
      <c r="U61" s="203"/>
      <c r="V61" s="203"/>
      <c r="W61" s="198" t="s">
        <v>504</v>
      </c>
      <c r="X61" s="198"/>
      <c r="Y61" s="199">
        <v>6</v>
      </c>
      <c r="Z61" s="200">
        <v>1</v>
      </c>
    </row>
    <row r="62" spans="1:26" s="77" customFormat="1" ht="13.5" customHeight="1">
      <c r="A62" s="202"/>
      <c r="B62" s="116" t="s">
        <v>466</v>
      </c>
      <c r="C62" s="201" t="s">
        <v>472</v>
      </c>
      <c r="D62" s="201"/>
      <c r="E62" s="201"/>
      <c r="F62" s="201"/>
      <c r="G62" s="201"/>
      <c r="H62" s="88" t="s">
        <v>233</v>
      </c>
      <c r="I62" s="88" t="s">
        <v>244</v>
      </c>
      <c r="J62" s="88" t="s">
        <v>233</v>
      </c>
      <c r="K62" s="88" t="s">
        <v>78</v>
      </c>
      <c r="L62" s="88" t="s">
        <v>78</v>
      </c>
      <c r="M62" s="88" t="s">
        <v>261</v>
      </c>
      <c r="N62" s="88" t="s">
        <v>233</v>
      </c>
      <c r="O62" s="88" t="s">
        <v>223</v>
      </c>
      <c r="P62" s="88" t="s">
        <v>78</v>
      </c>
      <c r="Q62" s="88" t="s">
        <v>78</v>
      </c>
      <c r="R62" s="88" t="s">
        <v>244</v>
      </c>
      <c r="S62" s="88" t="s">
        <v>240</v>
      </c>
      <c r="T62" s="88" t="s">
        <v>223</v>
      </c>
      <c r="U62" s="88" t="s">
        <v>78</v>
      </c>
      <c r="V62" s="88" t="s">
        <v>78</v>
      </c>
      <c r="W62" s="198"/>
      <c r="X62" s="198"/>
      <c r="Y62" s="199"/>
      <c r="Z62" s="200"/>
    </row>
    <row r="63" spans="1:26" s="77" customFormat="1" ht="13.5" customHeight="1">
      <c r="A63" s="202">
        <v>20</v>
      </c>
      <c r="B63" s="105" t="s">
        <v>300</v>
      </c>
      <c r="C63" s="203" t="s">
        <v>235</v>
      </c>
      <c r="D63" s="203"/>
      <c r="E63" s="203"/>
      <c r="F63" s="203"/>
      <c r="G63" s="203"/>
      <c r="H63" s="201" t="s">
        <v>16</v>
      </c>
      <c r="I63" s="201"/>
      <c r="J63" s="201"/>
      <c r="K63" s="201"/>
      <c r="L63" s="201"/>
      <c r="M63" s="203" t="s">
        <v>235</v>
      </c>
      <c r="N63" s="203"/>
      <c r="O63" s="203"/>
      <c r="P63" s="203"/>
      <c r="Q63" s="203"/>
      <c r="R63" s="203" t="s">
        <v>235</v>
      </c>
      <c r="S63" s="203"/>
      <c r="T63" s="203"/>
      <c r="U63" s="203"/>
      <c r="V63" s="203"/>
      <c r="W63" s="198" t="s">
        <v>503</v>
      </c>
      <c r="X63" s="198"/>
      <c r="Y63" s="199">
        <v>3</v>
      </c>
      <c r="Z63" s="200">
        <v>4</v>
      </c>
    </row>
    <row r="64" spans="1:26" s="77" customFormat="1" ht="13.5" customHeight="1">
      <c r="A64" s="202"/>
      <c r="B64" s="116" t="s">
        <v>456</v>
      </c>
      <c r="C64" s="88" t="s">
        <v>238</v>
      </c>
      <c r="D64" s="88" t="s">
        <v>239</v>
      </c>
      <c r="E64" s="88" t="s">
        <v>238</v>
      </c>
      <c r="F64" s="88" t="s">
        <v>78</v>
      </c>
      <c r="G64" s="88" t="s">
        <v>78</v>
      </c>
      <c r="H64" s="201" t="s">
        <v>472</v>
      </c>
      <c r="I64" s="201"/>
      <c r="J64" s="201"/>
      <c r="K64" s="201"/>
      <c r="L64" s="201"/>
      <c r="M64" s="88" t="s">
        <v>239</v>
      </c>
      <c r="N64" s="88" t="s">
        <v>226</v>
      </c>
      <c r="O64" s="88" t="s">
        <v>238</v>
      </c>
      <c r="P64" s="88" t="s">
        <v>78</v>
      </c>
      <c r="Q64" s="88" t="s">
        <v>78</v>
      </c>
      <c r="R64" s="88" t="s">
        <v>259</v>
      </c>
      <c r="S64" s="88" t="s">
        <v>238</v>
      </c>
      <c r="T64" s="88" t="s">
        <v>226</v>
      </c>
      <c r="U64" s="88" t="s">
        <v>78</v>
      </c>
      <c r="V64" s="88" t="s">
        <v>78</v>
      </c>
      <c r="W64" s="198"/>
      <c r="X64" s="198"/>
      <c r="Y64" s="199"/>
      <c r="Z64" s="200"/>
    </row>
    <row r="65" spans="1:26" s="77" customFormat="1" ht="13.5" customHeight="1">
      <c r="A65" s="202">
        <v>26</v>
      </c>
      <c r="B65" s="105" t="s">
        <v>289</v>
      </c>
      <c r="C65" s="203" t="s">
        <v>235</v>
      </c>
      <c r="D65" s="203"/>
      <c r="E65" s="203"/>
      <c r="F65" s="203"/>
      <c r="G65" s="203"/>
      <c r="H65" s="203" t="s">
        <v>218</v>
      </c>
      <c r="I65" s="203"/>
      <c r="J65" s="203"/>
      <c r="K65" s="203"/>
      <c r="L65" s="203"/>
      <c r="M65" s="201" t="s">
        <v>16</v>
      </c>
      <c r="N65" s="201"/>
      <c r="O65" s="201"/>
      <c r="P65" s="201"/>
      <c r="Q65" s="201"/>
      <c r="R65" s="203" t="s">
        <v>229</v>
      </c>
      <c r="S65" s="203"/>
      <c r="T65" s="203"/>
      <c r="U65" s="203"/>
      <c r="V65" s="203"/>
      <c r="W65" s="198" t="s">
        <v>502</v>
      </c>
      <c r="X65" s="198"/>
      <c r="Y65" s="199">
        <v>4</v>
      </c>
      <c r="Z65" s="200">
        <v>3</v>
      </c>
    </row>
    <row r="66" spans="1:26" s="77" customFormat="1" ht="13.5" customHeight="1">
      <c r="A66" s="202"/>
      <c r="B66" s="116" t="s">
        <v>450</v>
      </c>
      <c r="C66" s="88" t="s">
        <v>258</v>
      </c>
      <c r="D66" s="88" t="s">
        <v>238</v>
      </c>
      <c r="E66" s="88" t="s">
        <v>225</v>
      </c>
      <c r="F66" s="88" t="s">
        <v>78</v>
      </c>
      <c r="G66" s="88" t="s">
        <v>78</v>
      </c>
      <c r="H66" s="88" t="s">
        <v>244</v>
      </c>
      <c r="I66" s="88" t="s">
        <v>228</v>
      </c>
      <c r="J66" s="88" t="s">
        <v>233</v>
      </c>
      <c r="K66" s="88" t="s">
        <v>78</v>
      </c>
      <c r="L66" s="88" t="s">
        <v>78</v>
      </c>
      <c r="M66" s="201" t="s">
        <v>472</v>
      </c>
      <c r="N66" s="201"/>
      <c r="O66" s="201"/>
      <c r="P66" s="201"/>
      <c r="Q66" s="201"/>
      <c r="R66" s="88" t="s">
        <v>226</v>
      </c>
      <c r="S66" s="88" t="s">
        <v>244</v>
      </c>
      <c r="T66" s="88" t="s">
        <v>244</v>
      </c>
      <c r="U66" s="88" t="s">
        <v>259</v>
      </c>
      <c r="V66" s="88" t="s">
        <v>26</v>
      </c>
      <c r="W66" s="198"/>
      <c r="X66" s="198"/>
      <c r="Y66" s="199"/>
      <c r="Z66" s="200"/>
    </row>
    <row r="67" spans="1:26" s="77" customFormat="1" ht="13.5" customHeight="1">
      <c r="A67" s="202">
        <v>36</v>
      </c>
      <c r="B67" s="105" t="s">
        <v>437</v>
      </c>
      <c r="C67" s="203" t="s">
        <v>235</v>
      </c>
      <c r="D67" s="203"/>
      <c r="E67" s="203"/>
      <c r="F67" s="203"/>
      <c r="G67" s="203"/>
      <c r="H67" s="203" t="s">
        <v>218</v>
      </c>
      <c r="I67" s="203"/>
      <c r="J67" s="203"/>
      <c r="K67" s="203"/>
      <c r="L67" s="203"/>
      <c r="M67" s="203" t="s">
        <v>217</v>
      </c>
      <c r="N67" s="203"/>
      <c r="O67" s="203"/>
      <c r="P67" s="203"/>
      <c r="Q67" s="203"/>
      <c r="R67" s="201" t="s">
        <v>16</v>
      </c>
      <c r="S67" s="201"/>
      <c r="T67" s="201"/>
      <c r="U67" s="201"/>
      <c r="V67" s="201"/>
      <c r="W67" s="198" t="s">
        <v>262</v>
      </c>
      <c r="X67" s="198"/>
      <c r="Y67" s="199">
        <v>5</v>
      </c>
      <c r="Z67" s="200">
        <v>2</v>
      </c>
    </row>
    <row r="68" spans="1:26" s="77" customFormat="1" ht="13.5" customHeight="1">
      <c r="A68" s="202"/>
      <c r="B68" s="116" t="s">
        <v>438</v>
      </c>
      <c r="C68" s="88" t="s">
        <v>239</v>
      </c>
      <c r="D68" s="88" t="s">
        <v>245</v>
      </c>
      <c r="E68" s="88" t="s">
        <v>225</v>
      </c>
      <c r="F68" s="88" t="s">
        <v>78</v>
      </c>
      <c r="G68" s="88" t="s">
        <v>78</v>
      </c>
      <c r="H68" s="88" t="s">
        <v>255</v>
      </c>
      <c r="I68" s="88" t="s">
        <v>233</v>
      </c>
      <c r="J68" s="88" t="s">
        <v>228</v>
      </c>
      <c r="K68" s="88" t="s">
        <v>78</v>
      </c>
      <c r="L68" s="88" t="s">
        <v>78</v>
      </c>
      <c r="M68" s="88" t="s">
        <v>228</v>
      </c>
      <c r="N68" s="88" t="s">
        <v>239</v>
      </c>
      <c r="O68" s="88" t="s">
        <v>239</v>
      </c>
      <c r="P68" s="88" t="s">
        <v>255</v>
      </c>
      <c r="Q68" s="88" t="s">
        <v>19</v>
      </c>
      <c r="R68" s="201" t="s">
        <v>472</v>
      </c>
      <c r="S68" s="201"/>
      <c r="T68" s="201"/>
      <c r="U68" s="201"/>
      <c r="V68" s="201"/>
      <c r="W68" s="198"/>
      <c r="X68" s="198"/>
      <c r="Y68" s="199"/>
      <c r="Z68" s="200"/>
    </row>
    <row r="69" spans="1:26" s="77" customFormat="1" ht="13.5" customHeight="1">
      <c r="A69" s="98"/>
      <c r="B69" s="99"/>
      <c r="C69" s="100"/>
      <c r="D69" s="100"/>
      <c r="E69" s="100"/>
      <c r="F69" s="100"/>
      <c r="G69" s="100"/>
      <c r="H69" s="100"/>
      <c r="I69" s="100"/>
      <c r="J69" s="100"/>
      <c r="K69" s="100"/>
      <c r="L69" s="100"/>
      <c r="M69" s="100"/>
      <c r="N69" s="100"/>
      <c r="O69" s="100"/>
      <c r="P69" s="100"/>
      <c r="Q69" s="100"/>
      <c r="R69" s="100"/>
      <c r="S69" s="100"/>
      <c r="T69" s="100"/>
      <c r="U69" s="100"/>
      <c r="V69" s="100"/>
      <c r="W69" s="97"/>
      <c r="X69" s="97"/>
      <c r="Y69" s="97"/>
      <c r="Z69" s="97"/>
    </row>
    <row r="70" spans="1:26" s="77" customFormat="1" ht="15" customHeight="1">
      <c r="A70" s="95" t="s">
        <v>501</v>
      </c>
      <c r="B70" s="96"/>
      <c r="C70" s="96"/>
      <c r="D70" s="96"/>
      <c r="E70" s="96"/>
      <c r="F70" s="96"/>
      <c r="G70" s="96"/>
      <c r="H70" s="96"/>
      <c r="I70" s="96"/>
      <c r="J70" s="96"/>
      <c r="K70" s="96"/>
      <c r="L70" s="96"/>
      <c r="M70" s="96"/>
      <c r="N70" s="96"/>
      <c r="O70" s="96"/>
      <c r="P70" s="96"/>
      <c r="Q70" s="96"/>
      <c r="R70" s="96"/>
      <c r="S70" s="96"/>
      <c r="T70" s="96"/>
      <c r="U70" s="96"/>
      <c r="V70" s="96"/>
      <c r="W70" s="96"/>
      <c r="X70" s="96"/>
      <c r="Y70" s="96"/>
      <c r="Z70" s="96"/>
    </row>
    <row r="71" spans="1:26" s="77" customFormat="1" ht="13.5" customHeight="1">
      <c r="A71" s="115" t="s">
        <v>9</v>
      </c>
      <c r="B71" s="99" t="s">
        <v>10</v>
      </c>
      <c r="C71" s="204">
        <v>10</v>
      </c>
      <c r="D71" s="204"/>
      <c r="E71" s="204"/>
      <c r="F71" s="204"/>
      <c r="G71" s="204"/>
      <c r="H71" s="204">
        <v>17</v>
      </c>
      <c r="I71" s="204"/>
      <c r="J71" s="204"/>
      <c r="K71" s="204"/>
      <c r="L71" s="204"/>
      <c r="M71" s="204">
        <v>31</v>
      </c>
      <c r="N71" s="204"/>
      <c r="O71" s="204"/>
      <c r="P71" s="204"/>
      <c r="Q71" s="204"/>
      <c r="R71" s="204">
        <v>53</v>
      </c>
      <c r="S71" s="204"/>
      <c r="T71" s="204"/>
      <c r="U71" s="204"/>
      <c r="V71" s="204"/>
      <c r="W71" s="205" t="s">
        <v>11</v>
      </c>
      <c r="X71" s="205"/>
      <c r="Y71" s="97" t="s">
        <v>12</v>
      </c>
      <c r="Z71" s="97" t="s">
        <v>24</v>
      </c>
    </row>
    <row r="72" spans="1:26" s="77" customFormat="1" ht="13.5" customHeight="1">
      <c r="A72" s="202">
        <v>10</v>
      </c>
      <c r="B72" s="105" t="s">
        <v>216</v>
      </c>
      <c r="C72" s="201" t="s">
        <v>16</v>
      </c>
      <c r="D72" s="201"/>
      <c r="E72" s="201"/>
      <c r="F72" s="201"/>
      <c r="G72" s="201"/>
      <c r="H72" s="203" t="s">
        <v>230</v>
      </c>
      <c r="I72" s="203"/>
      <c r="J72" s="203"/>
      <c r="K72" s="203"/>
      <c r="L72" s="203"/>
      <c r="M72" s="203" t="s">
        <v>217</v>
      </c>
      <c r="N72" s="203"/>
      <c r="O72" s="203"/>
      <c r="P72" s="203"/>
      <c r="Q72" s="203"/>
      <c r="R72" s="203" t="s">
        <v>230</v>
      </c>
      <c r="S72" s="203"/>
      <c r="T72" s="203"/>
      <c r="U72" s="203"/>
      <c r="V72" s="203"/>
      <c r="W72" s="198" t="s">
        <v>495</v>
      </c>
      <c r="X72" s="198"/>
      <c r="Y72" s="199">
        <v>6</v>
      </c>
      <c r="Z72" s="200">
        <v>1</v>
      </c>
    </row>
    <row r="73" spans="1:26" s="77" customFormat="1" ht="13.5" customHeight="1">
      <c r="A73" s="202"/>
      <c r="B73" s="116" t="s">
        <v>465</v>
      </c>
      <c r="C73" s="201" t="s">
        <v>472</v>
      </c>
      <c r="D73" s="201"/>
      <c r="E73" s="201"/>
      <c r="F73" s="201"/>
      <c r="G73" s="201"/>
      <c r="H73" s="88" t="s">
        <v>240</v>
      </c>
      <c r="I73" s="88" t="s">
        <v>244</v>
      </c>
      <c r="J73" s="88" t="s">
        <v>232</v>
      </c>
      <c r="K73" s="88" t="s">
        <v>244</v>
      </c>
      <c r="L73" s="88" t="s">
        <v>78</v>
      </c>
      <c r="M73" s="88" t="s">
        <v>226</v>
      </c>
      <c r="N73" s="88" t="s">
        <v>238</v>
      </c>
      <c r="O73" s="88" t="s">
        <v>228</v>
      </c>
      <c r="P73" s="88" t="s">
        <v>255</v>
      </c>
      <c r="Q73" s="88" t="s">
        <v>31</v>
      </c>
      <c r="R73" s="88" t="s">
        <v>228</v>
      </c>
      <c r="S73" s="88" t="s">
        <v>223</v>
      </c>
      <c r="T73" s="88" t="s">
        <v>238</v>
      </c>
      <c r="U73" s="88" t="s">
        <v>228</v>
      </c>
      <c r="V73" s="88" t="s">
        <v>78</v>
      </c>
      <c r="W73" s="198"/>
      <c r="X73" s="198"/>
      <c r="Y73" s="199"/>
      <c r="Z73" s="200"/>
    </row>
    <row r="74" spans="1:26" s="77" customFormat="1" ht="13.5" customHeight="1">
      <c r="A74" s="202">
        <v>17</v>
      </c>
      <c r="B74" s="105" t="s">
        <v>433</v>
      </c>
      <c r="C74" s="203" t="s">
        <v>241</v>
      </c>
      <c r="D74" s="203"/>
      <c r="E74" s="203"/>
      <c r="F74" s="203"/>
      <c r="G74" s="203"/>
      <c r="H74" s="201" t="s">
        <v>16</v>
      </c>
      <c r="I74" s="201"/>
      <c r="J74" s="201"/>
      <c r="K74" s="201"/>
      <c r="L74" s="201"/>
      <c r="M74" s="203" t="s">
        <v>218</v>
      </c>
      <c r="N74" s="203"/>
      <c r="O74" s="203"/>
      <c r="P74" s="203"/>
      <c r="Q74" s="203"/>
      <c r="R74" s="203" t="s">
        <v>235</v>
      </c>
      <c r="S74" s="203"/>
      <c r="T74" s="203"/>
      <c r="U74" s="203"/>
      <c r="V74" s="203"/>
      <c r="W74" s="198" t="s">
        <v>500</v>
      </c>
      <c r="X74" s="198"/>
      <c r="Y74" s="199">
        <v>4</v>
      </c>
      <c r="Z74" s="200">
        <v>3</v>
      </c>
    </row>
    <row r="75" spans="1:26" s="77" customFormat="1" ht="13.5" customHeight="1">
      <c r="A75" s="202"/>
      <c r="B75" s="116" t="s">
        <v>458</v>
      </c>
      <c r="C75" s="88" t="s">
        <v>245</v>
      </c>
      <c r="D75" s="88" t="s">
        <v>239</v>
      </c>
      <c r="E75" s="88" t="s">
        <v>224</v>
      </c>
      <c r="F75" s="88" t="s">
        <v>239</v>
      </c>
      <c r="G75" s="88" t="s">
        <v>78</v>
      </c>
      <c r="H75" s="201" t="s">
        <v>472</v>
      </c>
      <c r="I75" s="201"/>
      <c r="J75" s="201"/>
      <c r="K75" s="201"/>
      <c r="L75" s="201"/>
      <c r="M75" s="88" t="s">
        <v>233</v>
      </c>
      <c r="N75" s="88" t="s">
        <v>224</v>
      </c>
      <c r="O75" s="88" t="s">
        <v>224</v>
      </c>
      <c r="P75" s="88" t="s">
        <v>78</v>
      </c>
      <c r="Q75" s="88" t="s">
        <v>78</v>
      </c>
      <c r="R75" s="88" t="s">
        <v>226</v>
      </c>
      <c r="S75" s="88" t="s">
        <v>239</v>
      </c>
      <c r="T75" s="88" t="s">
        <v>259</v>
      </c>
      <c r="U75" s="88" t="s">
        <v>78</v>
      </c>
      <c r="V75" s="88" t="s">
        <v>78</v>
      </c>
      <c r="W75" s="198"/>
      <c r="X75" s="198"/>
      <c r="Y75" s="199"/>
      <c r="Z75" s="200"/>
    </row>
    <row r="76" spans="1:26" s="77" customFormat="1" ht="13.5" customHeight="1">
      <c r="A76" s="202">
        <v>31</v>
      </c>
      <c r="B76" s="105" t="s">
        <v>249</v>
      </c>
      <c r="C76" s="203" t="s">
        <v>229</v>
      </c>
      <c r="D76" s="203"/>
      <c r="E76" s="203"/>
      <c r="F76" s="203"/>
      <c r="G76" s="203"/>
      <c r="H76" s="203" t="s">
        <v>235</v>
      </c>
      <c r="I76" s="203"/>
      <c r="J76" s="203"/>
      <c r="K76" s="203"/>
      <c r="L76" s="203"/>
      <c r="M76" s="201" t="s">
        <v>16</v>
      </c>
      <c r="N76" s="201"/>
      <c r="O76" s="201"/>
      <c r="P76" s="201"/>
      <c r="Q76" s="201"/>
      <c r="R76" s="203" t="s">
        <v>235</v>
      </c>
      <c r="S76" s="203"/>
      <c r="T76" s="203"/>
      <c r="U76" s="203"/>
      <c r="V76" s="203"/>
      <c r="W76" s="198" t="s">
        <v>236</v>
      </c>
      <c r="X76" s="198"/>
      <c r="Y76" s="199">
        <v>3</v>
      </c>
      <c r="Z76" s="200">
        <v>4</v>
      </c>
    </row>
    <row r="77" spans="1:26" s="77" customFormat="1" ht="13.5" customHeight="1">
      <c r="A77" s="202"/>
      <c r="B77" s="116" t="s">
        <v>444</v>
      </c>
      <c r="C77" s="88" t="s">
        <v>228</v>
      </c>
      <c r="D77" s="88" t="s">
        <v>233</v>
      </c>
      <c r="E77" s="88" t="s">
        <v>226</v>
      </c>
      <c r="F77" s="88" t="s">
        <v>259</v>
      </c>
      <c r="G77" s="88" t="s">
        <v>499</v>
      </c>
      <c r="H77" s="88" t="s">
        <v>238</v>
      </c>
      <c r="I77" s="88" t="s">
        <v>232</v>
      </c>
      <c r="J77" s="88" t="s">
        <v>232</v>
      </c>
      <c r="K77" s="88" t="s">
        <v>78</v>
      </c>
      <c r="L77" s="88" t="s">
        <v>78</v>
      </c>
      <c r="M77" s="201" t="s">
        <v>472</v>
      </c>
      <c r="N77" s="201"/>
      <c r="O77" s="201"/>
      <c r="P77" s="201"/>
      <c r="Q77" s="201"/>
      <c r="R77" s="88" t="s">
        <v>225</v>
      </c>
      <c r="S77" s="88" t="s">
        <v>225</v>
      </c>
      <c r="T77" s="88" t="s">
        <v>238</v>
      </c>
      <c r="U77" s="88" t="s">
        <v>78</v>
      </c>
      <c r="V77" s="88" t="s">
        <v>78</v>
      </c>
      <c r="W77" s="198"/>
      <c r="X77" s="198"/>
      <c r="Y77" s="199"/>
      <c r="Z77" s="200"/>
    </row>
    <row r="78" spans="1:26" s="77" customFormat="1" ht="13.5" customHeight="1">
      <c r="A78" s="202">
        <v>53</v>
      </c>
      <c r="B78" s="105" t="s">
        <v>418</v>
      </c>
      <c r="C78" s="203" t="s">
        <v>241</v>
      </c>
      <c r="D78" s="203"/>
      <c r="E78" s="203"/>
      <c r="F78" s="203"/>
      <c r="G78" s="203"/>
      <c r="H78" s="203" t="s">
        <v>218</v>
      </c>
      <c r="I78" s="203"/>
      <c r="J78" s="203"/>
      <c r="K78" s="203"/>
      <c r="L78" s="203"/>
      <c r="M78" s="203" t="s">
        <v>218</v>
      </c>
      <c r="N78" s="203"/>
      <c r="O78" s="203"/>
      <c r="P78" s="203"/>
      <c r="Q78" s="203"/>
      <c r="R78" s="201" t="s">
        <v>16</v>
      </c>
      <c r="S78" s="201"/>
      <c r="T78" s="201"/>
      <c r="U78" s="201"/>
      <c r="V78" s="201"/>
      <c r="W78" s="198" t="s">
        <v>498</v>
      </c>
      <c r="X78" s="198"/>
      <c r="Y78" s="199">
        <v>5</v>
      </c>
      <c r="Z78" s="200">
        <v>2</v>
      </c>
    </row>
    <row r="79" spans="1:26" s="77" customFormat="1" ht="13.5" customHeight="1">
      <c r="A79" s="202"/>
      <c r="B79" s="116" t="s">
        <v>421</v>
      </c>
      <c r="C79" s="88" t="s">
        <v>226</v>
      </c>
      <c r="D79" s="88" t="s">
        <v>225</v>
      </c>
      <c r="E79" s="88" t="s">
        <v>233</v>
      </c>
      <c r="F79" s="88" t="s">
        <v>226</v>
      </c>
      <c r="G79" s="88" t="s">
        <v>78</v>
      </c>
      <c r="H79" s="88" t="s">
        <v>228</v>
      </c>
      <c r="I79" s="88" t="s">
        <v>244</v>
      </c>
      <c r="J79" s="88" t="s">
        <v>255</v>
      </c>
      <c r="K79" s="88" t="s">
        <v>78</v>
      </c>
      <c r="L79" s="88" t="s">
        <v>78</v>
      </c>
      <c r="M79" s="88" t="s">
        <v>223</v>
      </c>
      <c r="N79" s="88" t="s">
        <v>223</v>
      </c>
      <c r="O79" s="88" t="s">
        <v>233</v>
      </c>
      <c r="P79" s="88" t="s">
        <v>78</v>
      </c>
      <c r="Q79" s="88" t="s">
        <v>78</v>
      </c>
      <c r="R79" s="201" t="s">
        <v>472</v>
      </c>
      <c r="S79" s="201"/>
      <c r="T79" s="201"/>
      <c r="U79" s="201"/>
      <c r="V79" s="201"/>
      <c r="W79" s="198"/>
      <c r="X79" s="198"/>
      <c r="Y79" s="199"/>
      <c r="Z79" s="200"/>
    </row>
    <row r="80" spans="1:26" s="77" customFormat="1" ht="13.5" customHeight="1">
      <c r="A80" s="104"/>
      <c r="B80" s="105"/>
      <c r="C80" s="106"/>
      <c r="D80" s="106"/>
      <c r="E80" s="106"/>
      <c r="F80" s="106"/>
      <c r="G80" s="106"/>
      <c r="H80" s="107"/>
      <c r="I80" s="107"/>
      <c r="J80" s="107"/>
      <c r="K80" s="107"/>
      <c r="L80" s="107"/>
      <c r="M80" s="107"/>
      <c r="N80" s="107"/>
      <c r="O80" s="107"/>
      <c r="P80" s="107"/>
      <c r="Q80" s="107"/>
      <c r="R80" s="107"/>
      <c r="S80" s="107"/>
      <c r="T80" s="107"/>
      <c r="U80" s="107"/>
      <c r="V80" s="107"/>
      <c r="W80" s="108"/>
      <c r="X80" s="109"/>
      <c r="Y80" s="110"/>
      <c r="Z80" s="94"/>
    </row>
    <row r="81" spans="1:26" s="77" customFormat="1" ht="15" customHeight="1">
      <c r="A81" s="95" t="s">
        <v>497</v>
      </c>
      <c r="B81" s="96"/>
      <c r="C81" s="96"/>
      <c r="D81" s="96"/>
      <c r="E81" s="96"/>
      <c r="F81" s="96"/>
      <c r="G81" s="96"/>
      <c r="H81" s="96"/>
      <c r="I81" s="96"/>
      <c r="J81" s="96"/>
      <c r="K81" s="96"/>
      <c r="L81" s="96"/>
      <c r="M81" s="96"/>
      <c r="N81" s="96"/>
      <c r="O81" s="96"/>
      <c r="P81" s="96"/>
      <c r="Q81" s="96"/>
      <c r="R81" s="96"/>
      <c r="S81" s="96"/>
      <c r="T81" s="96"/>
      <c r="U81" s="96"/>
      <c r="V81" s="96"/>
      <c r="W81" s="96"/>
      <c r="X81" s="96"/>
      <c r="Y81" s="96"/>
      <c r="Z81" s="96"/>
    </row>
    <row r="82" spans="1:26" s="77" customFormat="1" ht="13.5" customHeight="1">
      <c r="A82" s="115" t="s">
        <v>9</v>
      </c>
      <c r="B82" s="99" t="s">
        <v>10</v>
      </c>
      <c r="C82" s="204">
        <v>11</v>
      </c>
      <c r="D82" s="204"/>
      <c r="E82" s="204"/>
      <c r="F82" s="204"/>
      <c r="G82" s="204"/>
      <c r="H82" s="204">
        <v>16</v>
      </c>
      <c r="I82" s="204"/>
      <c r="J82" s="204"/>
      <c r="K82" s="204"/>
      <c r="L82" s="204"/>
      <c r="M82" s="204">
        <v>22</v>
      </c>
      <c r="N82" s="204"/>
      <c r="O82" s="204"/>
      <c r="P82" s="204"/>
      <c r="Q82" s="204"/>
      <c r="R82" s="204">
        <v>35</v>
      </c>
      <c r="S82" s="204"/>
      <c r="T82" s="204"/>
      <c r="U82" s="204"/>
      <c r="V82" s="204"/>
      <c r="W82" s="205" t="s">
        <v>11</v>
      </c>
      <c r="X82" s="205"/>
      <c r="Y82" s="97" t="s">
        <v>12</v>
      </c>
      <c r="Z82" s="97" t="s">
        <v>24</v>
      </c>
    </row>
    <row r="83" spans="1:26" s="77" customFormat="1" ht="13.5" customHeight="1">
      <c r="A83" s="202">
        <v>11</v>
      </c>
      <c r="B83" s="105" t="s">
        <v>300</v>
      </c>
      <c r="C83" s="201" t="s">
        <v>16</v>
      </c>
      <c r="D83" s="201"/>
      <c r="E83" s="201"/>
      <c r="F83" s="201"/>
      <c r="G83" s="201"/>
      <c r="H83" s="203" t="s">
        <v>229</v>
      </c>
      <c r="I83" s="203"/>
      <c r="J83" s="203"/>
      <c r="K83" s="203"/>
      <c r="L83" s="203"/>
      <c r="M83" s="203" t="s">
        <v>229</v>
      </c>
      <c r="N83" s="203"/>
      <c r="O83" s="203"/>
      <c r="P83" s="203"/>
      <c r="Q83" s="203"/>
      <c r="R83" s="203" t="s">
        <v>230</v>
      </c>
      <c r="S83" s="203"/>
      <c r="T83" s="203"/>
      <c r="U83" s="203"/>
      <c r="V83" s="203"/>
      <c r="W83" s="198" t="s">
        <v>496</v>
      </c>
      <c r="X83" s="198"/>
      <c r="Y83" s="199">
        <v>4</v>
      </c>
      <c r="Z83" s="200">
        <v>3</v>
      </c>
    </row>
    <row r="84" spans="1:26" s="77" customFormat="1" ht="13.5" customHeight="1">
      <c r="A84" s="202"/>
      <c r="B84" s="116" t="s">
        <v>464</v>
      </c>
      <c r="C84" s="201" t="s">
        <v>472</v>
      </c>
      <c r="D84" s="201"/>
      <c r="E84" s="201"/>
      <c r="F84" s="201"/>
      <c r="G84" s="201"/>
      <c r="H84" s="88" t="s">
        <v>224</v>
      </c>
      <c r="I84" s="88" t="s">
        <v>244</v>
      </c>
      <c r="J84" s="88" t="s">
        <v>245</v>
      </c>
      <c r="K84" s="88" t="s">
        <v>260</v>
      </c>
      <c r="L84" s="88" t="s">
        <v>20</v>
      </c>
      <c r="M84" s="88" t="s">
        <v>223</v>
      </c>
      <c r="N84" s="88" t="s">
        <v>232</v>
      </c>
      <c r="O84" s="88" t="s">
        <v>223</v>
      </c>
      <c r="P84" s="88" t="s">
        <v>232</v>
      </c>
      <c r="Q84" s="88" t="s">
        <v>26</v>
      </c>
      <c r="R84" s="88" t="s">
        <v>240</v>
      </c>
      <c r="S84" s="88" t="s">
        <v>244</v>
      </c>
      <c r="T84" s="88" t="s">
        <v>225</v>
      </c>
      <c r="U84" s="88" t="s">
        <v>228</v>
      </c>
      <c r="V84" s="88" t="s">
        <v>78</v>
      </c>
      <c r="W84" s="198"/>
      <c r="X84" s="198"/>
      <c r="Y84" s="199"/>
      <c r="Z84" s="200"/>
    </row>
    <row r="85" spans="1:26" s="77" customFormat="1" ht="13.5" customHeight="1">
      <c r="A85" s="202">
        <v>16</v>
      </c>
      <c r="B85" s="105" t="s">
        <v>216</v>
      </c>
      <c r="C85" s="203" t="s">
        <v>217</v>
      </c>
      <c r="D85" s="203"/>
      <c r="E85" s="203"/>
      <c r="F85" s="203"/>
      <c r="G85" s="203"/>
      <c r="H85" s="201" t="s">
        <v>16</v>
      </c>
      <c r="I85" s="201"/>
      <c r="J85" s="201"/>
      <c r="K85" s="201"/>
      <c r="L85" s="201"/>
      <c r="M85" s="203" t="s">
        <v>241</v>
      </c>
      <c r="N85" s="203"/>
      <c r="O85" s="203"/>
      <c r="P85" s="203"/>
      <c r="Q85" s="203"/>
      <c r="R85" s="203" t="s">
        <v>217</v>
      </c>
      <c r="S85" s="203"/>
      <c r="T85" s="203"/>
      <c r="U85" s="203"/>
      <c r="V85" s="203"/>
      <c r="W85" s="198" t="s">
        <v>496</v>
      </c>
      <c r="X85" s="198"/>
      <c r="Y85" s="199">
        <v>5</v>
      </c>
      <c r="Z85" s="200">
        <v>2</v>
      </c>
    </row>
    <row r="86" spans="1:26" s="77" customFormat="1" ht="13.5" customHeight="1">
      <c r="A86" s="202"/>
      <c r="B86" s="116" t="s">
        <v>459</v>
      </c>
      <c r="C86" s="88" t="s">
        <v>232</v>
      </c>
      <c r="D86" s="88" t="s">
        <v>239</v>
      </c>
      <c r="E86" s="88" t="s">
        <v>240</v>
      </c>
      <c r="F86" s="88" t="s">
        <v>256</v>
      </c>
      <c r="G86" s="88" t="s">
        <v>15</v>
      </c>
      <c r="H86" s="201" t="s">
        <v>472</v>
      </c>
      <c r="I86" s="201"/>
      <c r="J86" s="201"/>
      <c r="K86" s="201"/>
      <c r="L86" s="201"/>
      <c r="M86" s="88" t="s">
        <v>238</v>
      </c>
      <c r="N86" s="88" t="s">
        <v>240</v>
      </c>
      <c r="O86" s="88" t="s">
        <v>259</v>
      </c>
      <c r="P86" s="88" t="s">
        <v>225</v>
      </c>
      <c r="Q86" s="88" t="s">
        <v>78</v>
      </c>
      <c r="R86" s="88" t="s">
        <v>223</v>
      </c>
      <c r="S86" s="88" t="s">
        <v>239</v>
      </c>
      <c r="T86" s="88" t="s">
        <v>226</v>
      </c>
      <c r="U86" s="88" t="s">
        <v>233</v>
      </c>
      <c r="V86" s="88" t="s">
        <v>19</v>
      </c>
      <c r="W86" s="198"/>
      <c r="X86" s="198"/>
      <c r="Y86" s="199"/>
      <c r="Z86" s="200"/>
    </row>
    <row r="87" spans="1:26" s="77" customFormat="1" ht="13.5" customHeight="1">
      <c r="A87" s="202">
        <v>22</v>
      </c>
      <c r="B87" s="105" t="s">
        <v>246</v>
      </c>
      <c r="C87" s="203" t="s">
        <v>217</v>
      </c>
      <c r="D87" s="203"/>
      <c r="E87" s="203"/>
      <c r="F87" s="203"/>
      <c r="G87" s="203"/>
      <c r="H87" s="203" t="s">
        <v>230</v>
      </c>
      <c r="I87" s="203"/>
      <c r="J87" s="203"/>
      <c r="K87" s="203"/>
      <c r="L87" s="203"/>
      <c r="M87" s="201" t="s">
        <v>16</v>
      </c>
      <c r="N87" s="201"/>
      <c r="O87" s="201"/>
      <c r="P87" s="201"/>
      <c r="Q87" s="201"/>
      <c r="R87" s="203" t="s">
        <v>230</v>
      </c>
      <c r="S87" s="203"/>
      <c r="T87" s="203"/>
      <c r="U87" s="203"/>
      <c r="V87" s="203"/>
      <c r="W87" s="198" t="s">
        <v>495</v>
      </c>
      <c r="X87" s="198"/>
      <c r="Y87" s="199">
        <v>6</v>
      </c>
      <c r="Z87" s="200">
        <v>1</v>
      </c>
    </row>
    <row r="88" spans="1:26" s="77" customFormat="1" ht="13.5" customHeight="1">
      <c r="A88" s="202"/>
      <c r="B88" s="116" t="s">
        <v>454</v>
      </c>
      <c r="C88" s="88" t="s">
        <v>225</v>
      </c>
      <c r="D88" s="88" t="s">
        <v>224</v>
      </c>
      <c r="E88" s="88" t="s">
        <v>225</v>
      </c>
      <c r="F88" s="88" t="s">
        <v>224</v>
      </c>
      <c r="G88" s="88" t="s">
        <v>19</v>
      </c>
      <c r="H88" s="88" t="s">
        <v>233</v>
      </c>
      <c r="I88" s="88" t="s">
        <v>245</v>
      </c>
      <c r="J88" s="88" t="s">
        <v>255</v>
      </c>
      <c r="K88" s="88" t="s">
        <v>223</v>
      </c>
      <c r="L88" s="88" t="s">
        <v>78</v>
      </c>
      <c r="M88" s="201" t="s">
        <v>472</v>
      </c>
      <c r="N88" s="201"/>
      <c r="O88" s="201"/>
      <c r="P88" s="201"/>
      <c r="Q88" s="201"/>
      <c r="R88" s="88" t="s">
        <v>228</v>
      </c>
      <c r="S88" s="88" t="s">
        <v>260</v>
      </c>
      <c r="T88" s="88" t="s">
        <v>244</v>
      </c>
      <c r="U88" s="88" t="s">
        <v>233</v>
      </c>
      <c r="V88" s="88" t="s">
        <v>78</v>
      </c>
      <c r="W88" s="198"/>
      <c r="X88" s="198"/>
      <c r="Y88" s="199"/>
      <c r="Z88" s="200"/>
    </row>
    <row r="89" spans="1:26" s="77" customFormat="1" ht="13.5" customHeight="1">
      <c r="A89" s="202">
        <v>35</v>
      </c>
      <c r="B89" s="105" t="s">
        <v>220</v>
      </c>
      <c r="C89" s="203" t="s">
        <v>241</v>
      </c>
      <c r="D89" s="203"/>
      <c r="E89" s="203"/>
      <c r="F89" s="203"/>
      <c r="G89" s="203"/>
      <c r="H89" s="203" t="s">
        <v>229</v>
      </c>
      <c r="I89" s="203"/>
      <c r="J89" s="203"/>
      <c r="K89" s="203"/>
      <c r="L89" s="203"/>
      <c r="M89" s="203" t="s">
        <v>241</v>
      </c>
      <c r="N89" s="203"/>
      <c r="O89" s="203"/>
      <c r="P89" s="203"/>
      <c r="Q89" s="203"/>
      <c r="R89" s="201" t="s">
        <v>16</v>
      </c>
      <c r="S89" s="201"/>
      <c r="T89" s="201"/>
      <c r="U89" s="201"/>
      <c r="V89" s="201"/>
      <c r="W89" s="198" t="s">
        <v>494</v>
      </c>
      <c r="X89" s="198"/>
      <c r="Y89" s="199">
        <v>3</v>
      </c>
      <c r="Z89" s="200">
        <v>4</v>
      </c>
    </row>
    <row r="90" spans="1:26" s="77" customFormat="1" ht="13.5" customHeight="1">
      <c r="A90" s="202"/>
      <c r="B90" s="116" t="s">
        <v>439</v>
      </c>
      <c r="C90" s="88" t="s">
        <v>245</v>
      </c>
      <c r="D90" s="88" t="s">
        <v>239</v>
      </c>
      <c r="E90" s="88" t="s">
        <v>223</v>
      </c>
      <c r="F90" s="88" t="s">
        <v>226</v>
      </c>
      <c r="G90" s="88" t="s">
        <v>78</v>
      </c>
      <c r="H90" s="88" t="s">
        <v>225</v>
      </c>
      <c r="I90" s="88" t="s">
        <v>244</v>
      </c>
      <c r="J90" s="88" t="s">
        <v>228</v>
      </c>
      <c r="K90" s="88" t="s">
        <v>238</v>
      </c>
      <c r="L90" s="88" t="s">
        <v>26</v>
      </c>
      <c r="M90" s="88" t="s">
        <v>226</v>
      </c>
      <c r="N90" s="88" t="s">
        <v>256</v>
      </c>
      <c r="O90" s="88" t="s">
        <v>239</v>
      </c>
      <c r="P90" s="88" t="s">
        <v>238</v>
      </c>
      <c r="Q90" s="88" t="s">
        <v>78</v>
      </c>
      <c r="R90" s="201" t="s">
        <v>472</v>
      </c>
      <c r="S90" s="201"/>
      <c r="T90" s="201"/>
      <c r="U90" s="201"/>
      <c r="V90" s="201"/>
      <c r="W90" s="198"/>
      <c r="X90" s="198"/>
      <c r="Y90" s="199"/>
      <c r="Z90" s="200"/>
    </row>
  </sheetData>
  <sheetProtection sheet="1"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C16:G16"/>
    <mergeCell ref="H16:L16"/>
    <mergeCell ref="M16:Q16"/>
    <mergeCell ref="R16:V16"/>
    <mergeCell ref="W16:X16"/>
    <mergeCell ref="AB16:AC16"/>
    <mergeCell ref="AB14:AC14"/>
    <mergeCell ref="AB15:AC15"/>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C51:G51"/>
    <mergeCell ref="C49:G49"/>
    <mergeCell ref="H49:L49"/>
    <mergeCell ref="M49:Q49"/>
    <mergeCell ref="R49:V49"/>
    <mergeCell ref="W49:X49"/>
    <mergeCell ref="M52:Q52"/>
    <mergeCell ref="R52:V52"/>
    <mergeCell ref="W52:X53"/>
    <mergeCell ref="Y45:Y46"/>
    <mergeCell ref="Z45:Z46"/>
    <mergeCell ref="R46:V46"/>
    <mergeCell ref="Y50:Y51"/>
    <mergeCell ref="Z50:Z51"/>
    <mergeCell ref="W45:X46"/>
    <mergeCell ref="Y52:Y53"/>
    <mergeCell ref="A50:A51"/>
    <mergeCell ref="C50:G50"/>
    <mergeCell ref="H50:L50"/>
    <mergeCell ref="M50:Q50"/>
    <mergeCell ref="R50:V50"/>
    <mergeCell ref="W50:X51"/>
    <mergeCell ref="A52:A53"/>
    <mergeCell ref="C52:G52"/>
    <mergeCell ref="H52:L52"/>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2:G62"/>
    <mergeCell ref="C60:G60"/>
    <mergeCell ref="H60:L60"/>
    <mergeCell ref="M60:Q60"/>
    <mergeCell ref="R60:V60"/>
    <mergeCell ref="W60:X60"/>
    <mergeCell ref="M63:Q63"/>
    <mergeCell ref="R63:V63"/>
    <mergeCell ref="W63:X64"/>
    <mergeCell ref="Y56:Y57"/>
    <mergeCell ref="Z56:Z57"/>
    <mergeCell ref="R57:V57"/>
    <mergeCell ref="Y61:Y62"/>
    <mergeCell ref="Z61:Z62"/>
    <mergeCell ref="W56:X57"/>
    <mergeCell ref="Y63:Y64"/>
    <mergeCell ref="A61:A62"/>
    <mergeCell ref="C61:G61"/>
    <mergeCell ref="H61:L61"/>
    <mergeCell ref="M61:Q61"/>
    <mergeCell ref="R61:V61"/>
    <mergeCell ref="W61:X62"/>
    <mergeCell ref="A63:A64"/>
    <mergeCell ref="C63:G63"/>
    <mergeCell ref="H63:L63"/>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3:G73"/>
    <mergeCell ref="C71:G71"/>
    <mergeCell ref="H71:L71"/>
    <mergeCell ref="M71:Q71"/>
    <mergeCell ref="R71:V71"/>
    <mergeCell ref="W71:X71"/>
    <mergeCell ref="M74:Q74"/>
    <mergeCell ref="R74:V74"/>
    <mergeCell ref="W74:X75"/>
    <mergeCell ref="Y67:Y68"/>
    <mergeCell ref="Z67:Z68"/>
    <mergeCell ref="R68:V68"/>
    <mergeCell ref="Y72:Y73"/>
    <mergeCell ref="Z72:Z73"/>
    <mergeCell ref="W67:X68"/>
    <mergeCell ref="Y74:Y75"/>
    <mergeCell ref="A72:A73"/>
    <mergeCell ref="C72:G72"/>
    <mergeCell ref="H72:L72"/>
    <mergeCell ref="M72:Q72"/>
    <mergeCell ref="R72:V72"/>
    <mergeCell ref="W72:X73"/>
    <mergeCell ref="A74:A75"/>
    <mergeCell ref="C74:G74"/>
    <mergeCell ref="H74:L74"/>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4:G84"/>
    <mergeCell ref="C82:G82"/>
    <mergeCell ref="H82:L82"/>
    <mergeCell ref="M82:Q82"/>
    <mergeCell ref="R82:V82"/>
    <mergeCell ref="W82:X82"/>
    <mergeCell ref="M85:Q85"/>
    <mergeCell ref="R85:V85"/>
    <mergeCell ref="W85:X86"/>
    <mergeCell ref="Y78:Y79"/>
    <mergeCell ref="Z78:Z79"/>
    <mergeCell ref="R79:V79"/>
    <mergeCell ref="Y83:Y84"/>
    <mergeCell ref="Z83:Z84"/>
    <mergeCell ref="W78:X79"/>
    <mergeCell ref="Y85:Y86"/>
    <mergeCell ref="A83:A84"/>
    <mergeCell ref="C83:G83"/>
    <mergeCell ref="H83:L83"/>
    <mergeCell ref="M83:Q83"/>
    <mergeCell ref="R83:V83"/>
    <mergeCell ref="W83:X84"/>
    <mergeCell ref="A85:A86"/>
    <mergeCell ref="C85:G85"/>
    <mergeCell ref="H85:L85"/>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6:Z13 Z17:Z24 Z28:Z35 Z39:Z46">
    <cfRule type="cellIs" priority="35" dxfId="896" operator="equal" stopIfTrue="1">
      <formula>1</formula>
    </cfRule>
    <cfRule type="cellIs" priority="36" dxfId="897" operator="equal" stopIfTrue="1">
      <formula>2</formula>
    </cfRule>
  </conditionalFormatting>
  <conditionalFormatting sqref="A49:Z49">
    <cfRule type="expression" priority="34" dxfId="898" stopIfTrue="1">
      <formula>$A$48="Skupina E"</formula>
    </cfRule>
  </conditionalFormatting>
  <conditionalFormatting sqref="A50:A57">
    <cfRule type="expression" priority="33" dxfId="899" stopIfTrue="1">
      <formula>$A$48="Skupina E"</formula>
    </cfRule>
  </conditionalFormatting>
  <conditionalFormatting sqref="C50:G50 H52:L52 M54:Q54 R56:V56">
    <cfRule type="expression" priority="32" dxfId="900" stopIfTrue="1">
      <formula>$A$48="Skupina E"</formula>
    </cfRule>
  </conditionalFormatting>
  <conditionalFormatting sqref="C51:G51 H53:L53 M55:Q55 R57:V57">
    <cfRule type="expression" priority="31" dxfId="901" stopIfTrue="1">
      <formula>$A$48="Skupina E"</formula>
    </cfRule>
  </conditionalFormatting>
  <conditionalFormatting sqref="W50:Y57">
    <cfRule type="expression" priority="30" dxfId="902" stopIfTrue="1">
      <formula>$A$48="Skupina E"</formula>
    </cfRule>
  </conditionalFormatting>
  <conditionalFormatting sqref="B51 B53 B55 B57 D53:G53 D55:G55 D57:G57 I55:L55 I57:L57 N51:Q51 N57:Q57 S51:V51 S53:V53">
    <cfRule type="expression" priority="29" dxfId="888" stopIfTrue="1">
      <formula>$A$48="Skupina E"</formula>
    </cfRule>
  </conditionalFormatting>
  <conditionalFormatting sqref="C52:G52 M50:V50 R52:V52 C54:L54 C56:Q56">
    <cfRule type="expression" priority="28" dxfId="884" stopIfTrue="1">
      <formula>$A$48="Skupina E"</formula>
    </cfRule>
  </conditionalFormatting>
  <conditionalFormatting sqref="C53 C55 C57 H55 H57 M51 M57 R51 R53">
    <cfRule type="expression" priority="27" dxfId="891" stopIfTrue="1">
      <formula>$A$48="Skupina E"</formula>
    </cfRule>
  </conditionalFormatting>
  <conditionalFormatting sqref="A60:Z60">
    <cfRule type="expression" priority="26" dxfId="898" stopIfTrue="1">
      <formula>$A$59="Skupina F"</formula>
    </cfRule>
  </conditionalFormatting>
  <conditionalFormatting sqref="A61:A68 A72:A79">
    <cfRule type="expression" priority="25" dxfId="899" stopIfTrue="1">
      <formula>$A$59="Skupina F"</formula>
    </cfRule>
  </conditionalFormatting>
  <conditionalFormatting sqref="C61:G61 H63:L63 M65:Q65 R67:V67 C72:G72 H74:L74 M76:Q76 R78:V78">
    <cfRule type="expression" priority="24" dxfId="900" stopIfTrue="1">
      <formula>$A$59="Skupina F"</formula>
    </cfRule>
  </conditionalFormatting>
  <conditionalFormatting sqref="C62:G62 H64:L64 M66:Q66 R68:V68 C73:G73 H75:L75 M77:Q77 R79:V79">
    <cfRule type="expression" priority="23" dxfId="901" stopIfTrue="1">
      <formula>$A$59="Skupina F"</formula>
    </cfRule>
  </conditionalFormatting>
  <conditionalFormatting sqref="W61:Y68 W72:Y79">
    <cfRule type="expression" priority="22" dxfId="902"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21" dxfId="888" stopIfTrue="1">
      <formula>$A$59="Skupina F"</formula>
    </cfRule>
  </conditionalFormatting>
  <conditionalFormatting sqref="C63:G63 C65:L65 M61:V61 R63:V63 C67:Q67 C74:G74 C76:L76 C78:Q78 M72:V72 R74:V74">
    <cfRule type="expression" priority="20" dxfId="884" stopIfTrue="1">
      <formula>$A$59="Skupina F"</formula>
    </cfRule>
  </conditionalFormatting>
  <conditionalFormatting sqref="C64 C66 C68 H66 H68 M62 M68 R62 R64 C75 C77 C79 H77 H79 M79 M73 R73 R75">
    <cfRule type="expression" priority="19" dxfId="891" stopIfTrue="1">
      <formula>$A$59="Skupina F"</formula>
    </cfRule>
  </conditionalFormatting>
  <conditionalFormatting sqref="A71:Z71">
    <cfRule type="expression" priority="18" dxfId="898" stopIfTrue="1">
      <formula>$A$70="Skupina G"</formula>
    </cfRule>
  </conditionalFormatting>
  <conditionalFormatting sqref="A82:Z82">
    <cfRule type="expression" priority="17" dxfId="898" stopIfTrue="1">
      <formula>$A$81="Skupina H"</formula>
    </cfRule>
  </conditionalFormatting>
  <conditionalFormatting sqref="A83:A90">
    <cfRule type="expression" priority="16" dxfId="899" stopIfTrue="1">
      <formula>$A$81="Skupina H"</formula>
    </cfRule>
  </conditionalFormatting>
  <conditionalFormatting sqref="C83:G83 H85:L85 M87:Q87 R89:V89">
    <cfRule type="expression" priority="15" dxfId="900" stopIfTrue="1">
      <formula>$A$81="Skupina H"</formula>
    </cfRule>
  </conditionalFormatting>
  <conditionalFormatting sqref="C84:G84 H86:L86 M88:Q88 R90:V90">
    <cfRule type="expression" priority="14" dxfId="901" stopIfTrue="1">
      <formula>$A$81="Skupina H"</formula>
    </cfRule>
  </conditionalFormatting>
  <conditionalFormatting sqref="W83:Y90">
    <cfRule type="expression" priority="13" dxfId="902" stopIfTrue="1">
      <formula>$A$81="Skupina H"</formula>
    </cfRule>
  </conditionalFormatting>
  <conditionalFormatting sqref="B84 B86 B88 B90 D86:G86 D88:G88 D90:G90 I88:L88 I90:L90 N84:Q84 N90:Q90 S84:V84 S86:V86">
    <cfRule type="expression" priority="12" dxfId="888" stopIfTrue="1">
      <formula>$A$81="Skupina H"</formula>
    </cfRule>
  </conditionalFormatting>
  <conditionalFormatting sqref="C85:G85 C89:Q89 M83:V83 R85:V85 C87:L87">
    <cfRule type="expression" priority="11" dxfId="884" stopIfTrue="1">
      <formula>$A$81="Skupina H"</formula>
    </cfRule>
  </conditionalFormatting>
  <conditionalFormatting sqref="C86 C88 C90 H88 H90 M84 M90 R84 R86">
    <cfRule type="expression" priority="10" dxfId="891" stopIfTrue="1">
      <formula>$A$81="Skupina H"</formula>
    </cfRule>
  </conditionalFormatting>
  <conditionalFormatting sqref="Z50:Z57">
    <cfRule type="cellIs" priority="7" dxfId="903" operator="equal" stopIfTrue="1">
      <formula>1</formula>
    </cfRule>
    <cfRule type="cellIs" priority="8" dxfId="904" operator="equal" stopIfTrue="1">
      <formula>2</formula>
    </cfRule>
    <cfRule type="expression" priority="9" dxfId="902" stopIfTrue="1">
      <formula>$A$48="Skupina E"</formula>
    </cfRule>
  </conditionalFormatting>
  <conditionalFormatting sqref="Z61:Z68 Z72:Z79">
    <cfRule type="cellIs" priority="4" dxfId="903" operator="equal" stopIfTrue="1">
      <formula>1</formula>
    </cfRule>
    <cfRule type="cellIs" priority="5" dxfId="904" operator="equal" stopIfTrue="1">
      <formula>2</formula>
    </cfRule>
    <cfRule type="expression" priority="6" dxfId="902" stopIfTrue="1">
      <formula>$A$59="Skupina F"</formula>
    </cfRule>
  </conditionalFormatting>
  <conditionalFormatting sqref="Z83:Z90">
    <cfRule type="cellIs" priority="1" dxfId="903" operator="equal" stopIfTrue="1">
      <formula>1</formula>
    </cfRule>
    <cfRule type="cellIs" priority="2" dxfId="904" operator="equal" stopIfTrue="1">
      <formula>2</formula>
    </cfRule>
    <cfRule type="expression" priority="3" dxfId="902" stopIfTrue="1">
      <formula>$A$81="Skupina H"</formula>
    </cfRule>
  </conditionalFormatting>
  <printOptions horizontalCentered="1"/>
  <pageMargins left="0.1968503937007874" right="0.1968503937007874" top="0.5905511811023623" bottom="0.5905511811023623" header="0" footer="0"/>
  <pageSetup horizontalDpi="600" verticalDpi="6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3">
      <selection activeCell="E26" sqref="E26"/>
    </sheetView>
  </sheetViews>
  <sheetFormatPr defaultColWidth="9.003906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2.25390625" style="20" customWidth="1"/>
    <col min="10" max="16384" width="9.125" style="20" customWidth="1"/>
  </cols>
  <sheetData>
    <row r="1" spans="1:9" ht="27.75" customHeight="1">
      <c r="A1" s="247" t="s">
        <v>73</v>
      </c>
      <c r="B1" s="247"/>
      <c r="C1" s="247"/>
      <c r="D1" s="247"/>
      <c r="E1" s="247"/>
      <c r="F1" s="247"/>
      <c r="G1" s="247"/>
      <c r="H1" s="247"/>
      <c r="I1" s="117"/>
    </row>
    <row r="2" spans="1:12" ht="18.75">
      <c r="A2" s="244" t="s">
        <v>562</v>
      </c>
      <c r="B2" s="244"/>
      <c r="C2" s="244"/>
      <c r="D2" s="244"/>
      <c r="E2" s="244"/>
      <c r="F2" s="244"/>
      <c r="G2" s="244"/>
      <c r="H2" s="244"/>
      <c r="I2" s="118"/>
      <c r="J2" s="73"/>
      <c r="K2" s="73"/>
      <c r="L2" s="73"/>
    </row>
    <row r="3" spans="3:13" ht="15.75">
      <c r="C3" s="22"/>
      <c r="D3" s="24"/>
      <c r="G3" s="119"/>
      <c r="H3" s="120" t="s">
        <v>75</v>
      </c>
      <c r="I3" s="120"/>
      <c r="J3" s="120"/>
      <c r="K3" s="120"/>
      <c r="L3" s="120"/>
      <c r="M3" s="120"/>
    </row>
    <row r="4" spans="1:9" ht="15" customHeight="1">
      <c r="A4" s="121" t="s">
        <v>27</v>
      </c>
      <c r="B4" s="122">
        <v>12</v>
      </c>
      <c r="C4" s="123" t="s">
        <v>561</v>
      </c>
      <c r="D4" s="124"/>
      <c r="E4" s="124"/>
      <c r="F4" s="124"/>
      <c r="G4" s="125"/>
      <c r="H4" s="31"/>
      <c r="I4" s="124"/>
    </row>
    <row r="5" spans="1:9" ht="15" customHeight="1">
      <c r="A5" s="121"/>
      <c r="B5" s="126"/>
      <c r="C5" s="124"/>
      <c r="D5" s="248">
        <v>161</v>
      </c>
      <c r="E5" s="131" t="s">
        <v>438</v>
      </c>
      <c r="F5" s="124"/>
      <c r="G5" s="31"/>
      <c r="H5" s="31"/>
      <c r="I5" s="124"/>
    </row>
    <row r="6" spans="1:19" ht="15" customHeight="1">
      <c r="A6" s="121" t="s">
        <v>33</v>
      </c>
      <c r="B6" s="122">
        <v>36</v>
      </c>
      <c r="C6" s="128" t="s">
        <v>560</v>
      </c>
      <c r="D6" s="249"/>
      <c r="E6" s="37" t="s">
        <v>559</v>
      </c>
      <c r="F6" s="124"/>
      <c r="G6" s="124"/>
      <c r="H6" s="124"/>
      <c r="I6" s="124"/>
      <c r="K6" s="129"/>
      <c r="L6" s="129"/>
      <c r="M6" s="129"/>
      <c r="N6" s="129"/>
      <c r="O6" s="129"/>
      <c r="P6" s="129"/>
      <c r="Q6" s="129"/>
      <c r="R6" s="129"/>
      <c r="S6" s="129"/>
    </row>
    <row r="7" spans="1:19" ht="15" customHeight="1">
      <c r="A7" s="121"/>
      <c r="B7" s="126"/>
      <c r="C7" s="124"/>
      <c r="D7" s="130"/>
      <c r="E7" s="250">
        <v>169</v>
      </c>
      <c r="F7" s="131" t="s">
        <v>438</v>
      </c>
      <c r="G7" s="124"/>
      <c r="H7" s="124"/>
      <c r="I7" s="124"/>
      <c r="K7" s="129"/>
      <c r="L7" s="129"/>
      <c r="M7" s="129"/>
      <c r="N7" s="129"/>
      <c r="O7" s="129"/>
      <c r="P7" s="129"/>
      <c r="Q7" s="129"/>
      <c r="R7" s="129"/>
      <c r="S7" s="129"/>
    </row>
    <row r="8" spans="1:19" ht="15" customHeight="1">
      <c r="A8" s="121" t="s">
        <v>25</v>
      </c>
      <c r="B8" s="122">
        <v>53</v>
      </c>
      <c r="C8" s="128" t="s">
        <v>558</v>
      </c>
      <c r="D8" s="130"/>
      <c r="E8" s="250"/>
      <c r="F8" s="37" t="s">
        <v>477</v>
      </c>
      <c r="G8" s="132"/>
      <c r="H8" s="124"/>
      <c r="I8" s="124"/>
      <c r="K8" s="129"/>
      <c r="L8" s="129"/>
      <c r="M8" s="129"/>
      <c r="N8" s="129"/>
      <c r="O8" s="129"/>
      <c r="P8" s="129"/>
      <c r="Q8" s="129"/>
      <c r="R8" s="129"/>
      <c r="S8" s="129"/>
    </row>
    <row r="9" spans="1:19" ht="15" customHeight="1">
      <c r="A9" s="121"/>
      <c r="B9" s="126"/>
      <c r="C9" s="124"/>
      <c r="D9" s="248">
        <v>162</v>
      </c>
      <c r="E9" s="127" t="s">
        <v>421</v>
      </c>
      <c r="F9" s="133"/>
      <c r="G9" s="132"/>
      <c r="H9" s="124"/>
      <c r="I9" s="124"/>
      <c r="K9" s="129"/>
      <c r="L9" s="129"/>
      <c r="M9" s="129"/>
      <c r="N9" s="129"/>
      <c r="O9" s="129"/>
      <c r="P9" s="129"/>
      <c r="Q9" s="129"/>
      <c r="R9" s="129"/>
      <c r="S9" s="129"/>
    </row>
    <row r="10" spans="1:19" ht="15" customHeight="1">
      <c r="A10" s="121" t="s">
        <v>31</v>
      </c>
      <c r="B10" s="122">
        <v>22</v>
      </c>
      <c r="C10" s="134" t="s">
        <v>492</v>
      </c>
      <c r="D10" s="249"/>
      <c r="E10" s="43" t="s">
        <v>557</v>
      </c>
      <c r="F10" s="121"/>
      <c r="G10" s="132"/>
      <c r="H10" s="124"/>
      <c r="I10" s="124"/>
      <c r="K10" s="129"/>
      <c r="L10" s="129"/>
      <c r="M10" s="129"/>
      <c r="N10" s="129"/>
      <c r="O10" s="129"/>
      <c r="P10" s="129"/>
      <c r="Q10" s="129"/>
      <c r="R10" s="129"/>
      <c r="S10" s="129"/>
    </row>
    <row r="11" spans="1:19" ht="15" customHeight="1">
      <c r="A11" s="121"/>
      <c r="B11" s="126"/>
      <c r="C11" s="124"/>
      <c r="D11" s="130"/>
      <c r="E11" s="135"/>
      <c r="F11" s="250">
        <v>173</v>
      </c>
      <c r="G11" s="136" t="s">
        <v>438</v>
      </c>
      <c r="H11" s="124"/>
      <c r="I11" s="124"/>
      <c r="K11" s="129"/>
      <c r="L11" s="129"/>
      <c r="M11" s="129"/>
      <c r="N11" s="129"/>
      <c r="O11" s="129"/>
      <c r="P11" s="129"/>
      <c r="Q11" s="129"/>
      <c r="R11" s="129"/>
      <c r="S11" s="129"/>
    </row>
    <row r="12" spans="1:19" ht="15" customHeight="1">
      <c r="A12" s="121" t="s">
        <v>19</v>
      </c>
      <c r="B12" s="122">
        <v>13</v>
      </c>
      <c r="C12" s="134" t="s">
        <v>556</v>
      </c>
      <c r="D12" s="130"/>
      <c r="E12" s="135"/>
      <c r="F12" s="250"/>
      <c r="G12" s="137" t="s">
        <v>555</v>
      </c>
      <c r="H12" s="138"/>
      <c r="I12" s="124"/>
      <c r="K12" s="129"/>
      <c r="L12" s="129"/>
      <c r="M12" s="129"/>
      <c r="N12" s="129"/>
      <c r="O12" s="129"/>
      <c r="P12" s="129"/>
      <c r="Q12" s="129"/>
      <c r="R12" s="129"/>
      <c r="S12" s="129"/>
    </row>
    <row r="13" spans="1:19" ht="15" customHeight="1">
      <c r="A13" s="121"/>
      <c r="B13" s="126"/>
      <c r="C13" s="124"/>
      <c r="D13" s="248">
        <v>163</v>
      </c>
      <c r="E13" s="127" t="s">
        <v>460</v>
      </c>
      <c r="F13" s="121"/>
      <c r="G13" s="136"/>
      <c r="H13" s="138"/>
      <c r="I13" s="124"/>
      <c r="K13" s="129"/>
      <c r="L13" s="129"/>
      <c r="M13" s="129"/>
      <c r="N13" s="129"/>
      <c r="O13" s="129"/>
      <c r="P13" s="129"/>
      <c r="Q13" s="129"/>
      <c r="R13" s="129"/>
      <c r="S13" s="129"/>
    </row>
    <row r="14" spans="1:19" ht="15" customHeight="1">
      <c r="A14" s="121" t="s">
        <v>13</v>
      </c>
      <c r="B14" s="122">
        <v>15</v>
      </c>
      <c r="C14" s="128" t="s">
        <v>554</v>
      </c>
      <c r="D14" s="249"/>
      <c r="E14" s="37" t="s">
        <v>553</v>
      </c>
      <c r="F14" s="133"/>
      <c r="G14" s="136"/>
      <c r="H14" s="138"/>
      <c r="I14" s="124"/>
      <c r="K14" s="129"/>
      <c r="L14" s="129"/>
      <c r="M14" s="129"/>
      <c r="N14" s="129"/>
      <c r="O14" s="129"/>
      <c r="P14" s="129"/>
      <c r="Q14" s="129"/>
      <c r="R14" s="129"/>
      <c r="S14" s="129"/>
    </row>
    <row r="15" spans="1:19" ht="15" customHeight="1">
      <c r="A15" s="121"/>
      <c r="B15" s="126"/>
      <c r="C15" s="124"/>
      <c r="D15" s="130"/>
      <c r="E15" s="250">
        <v>170</v>
      </c>
      <c r="F15" s="127" t="s">
        <v>457</v>
      </c>
      <c r="G15" s="136"/>
      <c r="H15" s="138"/>
      <c r="I15" s="124"/>
      <c r="K15" s="129"/>
      <c r="L15" s="129"/>
      <c r="M15" s="129"/>
      <c r="N15" s="129"/>
      <c r="O15" s="129"/>
      <c r="P15" s="129"/>
      <c r="Q15" s="129"/>
      <c r="R15" s="129"/>
      <c r="S15" s="129"/>
    </row>
    <row r="16" spans="1:19" ht="15" customHeight="1">
      <c r="A16" s="121" t="s">
        <v>14</v>
      </c>
      <c r="B16" s="122">
        <v>21</v>
      </c>
      <c r="C16" s="128" t="s">
        <v>552</v>
      </c>
      <c r="D16" s="140"/>
      <c r="E16" s="250"/>
      <c r="F16" s="43" t="s">
        <v>551</v>
      </c>
      <c r="G16" s="142"/>
      <c r="H16" s="138"/>
      <c r="I16" s="124"/>
      <c r="K16" s="129"/>
      <c r="L16" s="129"/>
      <c r="M16" s="129"/>
      <c r="N16" s="129"/>
      <c r="O16" s="129"/>
      <c r="P16" s="129"/>
      <c r="Q16" s="129"/>
      <c r="R16" s="129"/>
      <c r="S16" s="129"/>
    </row>
    <row r="17" spans="1:19" ht="15" customHeight="1">
      <c r="A17" s="121"/>
      <c r="B17" s="126"/>
      <c r="C17" s="124"/>
      <c r="D17" s="248">
        <v>164</v>
      </c>
      <c r="E17" s="127" t="s">
        <v>457</v>
      </c>
      <c r="F17" s="143"/>
      <c r="G17" s="142"/>
      <c r="H17" s="138"/>
      <c r="I17" s="124"/>
      <c r="K17" s="129"/>
      <c r="L17" s="129"/>
      <c r="M17" s="129"/>
      <c r="N17" s="129"/>
      <c r="O17" s="129"/>
      <c r="P17" s="129"/>
      <c r="Q17" s="129"/>
      <c r="R17" s="129"/>
      <c r="S17" s="129"/>
    </row>
    <row r="18" spans="1:19" ht="15" customHeight="1">
      <c r="A18" s="121" t="s">
        <v>17</v>
      </c>
      <c r="B18" s="122">
        <v>19</v>
      </c>
      <c r="C18" s="123" t="s">
        <v>550</v>
      </c>
      <c r="D18" s="249"/>
      <c r="E18" s="43" t="s">
        <v>549</v>
      </c>
      <c r="F18" s="121"/>
      <c r="G18" s="142"/>
      <c r="H18" s="138"/>
      <c r="I18" s="124"/>
      <c r="K18" s="129"/>
      <c r="L18" s="129"/>
      <c r="M18" s="129"/>
      <c r="N18" s="129"/>
      <c r="O18" s="129"/>
      <c r="P18" s="129"/>
      <c r="Q18" s="129"/>
      <c r="R18" s="129"/>
      <c r="S18" s="129"/>
    </row>
    <row r="19" spans="1:19" ht="15" customHeight="1">
      <c r="A19" s="121"/>
      <c r="B19" s="126"/>
      <c r="C19" s="138"/>
      <c r="D19" s="144"/>
      <c r="E19" s="138"/>
      <c r="F19" s="145"/>
      <c r="G19" s="246">
        <v>175</v>
      </c>
      <c r="H19" s="146" t="s">
        <v>465</v>
      </c>
      <c r="I19" s="146"/>
      <c r="K19" s="129"/>
      <c r="L19" s="129"/>
      <c r="M19" s="129"/>
      <c r="N19" s="129"/>
      <c r="O19" s="129"/>
      <c r="P19" s="129"/>
      <c r="Q19" s="129"/>
      <c r="R19" s="129"/>
      <c r="S19" s="129"/>
    </row>
    <row r="20" spans="1:9" ht="15" customHeight="1">
      <c r="A20" s="121" t="s">
        <v>15</v>
      </c>
      <c r="B20" s="147">
        <v>7</v>
      </c>
      <c r="C20" s="138" t="s">
        <v>548</v>
      </c>
      <c r="D20" s="144"/>
      <c r="E20" s="148"/>
      <c r="F20" s="138"/>
      <c r="G20" s="246"/>
      <c r="H20" s="145" t="s">
        <v>547</v>
      </c>
      <c r="I20" s="121"/>
    </row>
    <row r="21" spans="1:9" ht="15" customHeight="1">
      <c r="A21" s="121"/>
      <c r="B21" s="126"/>
      <c r="C21" s="138"/>
      <c r="D21" s="245">
        <v>165</v>
      </c>
      <c r="E21" s="145" t="s">
        <v>468</v>
      </c>
      <c r="F21" s="138"/>
      <c r="G21" s="145"/>
      <c r="H21" s="138"/>
      <c r="I21" s="142"/>
    </row>
    <row r="22" spans="1:9" ht="15" customHeight="1">
      <c r="A22" s="121" t="s">
        <v>21</v>
      </c>
      <c r="B22" s="147">
        <v>16</v>
      </c>
      <c r="C22" s="138" t="s">
        <v>546</v>
      </c>
      <c r="D22" s="245"/>
      <c r="E22" s="40" t="s">
        <v>545</v>
      </c>
      <c r="F22" s="138"/>
      <c r="G22" s="145"/>
      <c r="H22" s="138"/>
      <c r="I22" s="142"/>
    </row>
    <row r="23" spans="1:9" ht="15" customHeight="1">
      <c r="A23" s="121"/>
      <c r="B23" s="126"/>
      <c r="C23" s="138"/>
      <c r="D23" s="149"/>
      <c r="E23" s="246">
        <v>171</v>
      </c>
      <c r="F23" s="145" t="s">
        <v>468</v>
      </c>
      <c r="G23" s="145"/>
      <c r="H23" s="138"/>
      <c r="I23" s="142"/>
    </row>
    <row r="24" spans="1:9" ht="15" customHeight="1">
      <c r="A24" s="121" t="s">
        <v>511</v>
      </c>
      <c r="B24" s="147">
        <v>23</v>
      </c>
      <c r="C24" s="138" t="s">
        <v>544</v>
      </c>
      <c r="D24" s="149"/>
      <c r="E24" s="246"/>
      <c r="F24" s="40" t="s">
        <v>543</v>
      </c>
      <c r="G24" s="138"/>
      <c r="H24" s="138"/>
      <c r="I24" s="142"/>
    </row>
    <row r="25" spans="1:9" ht="15" customHeight="1">
      <c r="A25" s="121"/>
      <c r="B25" s="126"/>
      <c r="C25" s="138"/>
      <c r="D25" s="245">
        <v>166</v>
      </c>
      <c r="E25" s="145" t="s">
        <v>466</v>
      </c>
      <c r="F25" s="138"/>
      <c r="G25" s="138"/>
      <c r="H25" s="138"/>
      <c r="I25" s="142"/>
    </row>
    <row r="26" spans="1:9" ht="15" customHeight="1">
      <c r="A26" s="121" t="s">
        <v>542</v>
      </c>
      <c r="B26" s="147">
        <v>9</v>
      </c>
      <c r="C26" s="138" t="s">
        <v>541</v>
      </c>
      <c r="D26" s="245"/>
      <c r="E26" s="40" t="s">
        <v>540</v>
      </c>
      <c r="F26" s="138"/>
      <c r="G26" s="138"/>
      <c r="H26" s="138"/>
      <c r="I26" s="142"/>
    </row>
    <row r="27" spans="1:9" ht="15" customHeight="1">
      <c r="A27" s="121"/>
      <c r="B27" s="126"/>
      <c r="C27" s="138"/>
      <c r="D27" s="149"/>
      <c r="E27" s="145"/>
      <c r="F27" s="246">
        <v>174</v>
      </c>
      <c r="G27" s="145" t="s">
        <v>465</v>
      </c>
      <c r="H27" s="138"/>
      <c r="I27" s="142"/>
    </row>
    <row r="28" spans="1:9" ht="15" customHeight="1">
      <c r="A28" s="121" t="s">
        <v>539</v>
      </c>
      <c r="B28" s="147">
        <v>10</v>
      </c>
      <c r="C28" s="138" t="s">
        <v>538</v>
      </c>
      <c r="D28" s="144"/>
      <c r="E28" s="138"/>
      <c r="F28" s="246"/>
      <c r="G28" s="40" t="s">
        <v>537</v>
      </c>
      <c r="H28" s="146"/>
      <c r="I28" s="142"/>
    </row>
    <row r="29" spans="1:9" ht="15" customHeight="1">
      <c r="A29" s="121"/>
      <c r="B29" s="126"/>
      <c r="C29" s="138"/>
      <c r="D29" s="245">
        <v>167</v>
      </c>
      <c r="E29" s="145" t="s">
        <v>465</v>
      </c>
      <c r="F29" s="148"/>
      <c r="G29" s="138"/>
      <c r="H29" s="145"/>
      <c r="I29" s="142"/>
    </row>
    <row r="30" spans="1:9" ht="15" customHeight="1">
      <c r="A30" s="121" t="s">
        <v>536</v>
      </c>
      <c r="B30" s="147">
        <v>2</v>
      </c>
      <c r="C30" s="138" t="s">
        <v>535</v>
      </c>
      <c r="D30" s="245"/>
      <c r="E30" s="40" t="s">
        <v>534</v>
      </c>
      <c r="F30" s="148"/>
      <c r="G30" s="138"/>
      <c r="H30" s="145"/>
      <c r="I30" s="142"/>
    </row>
    <row r="31" spans="1:9" ht="15" customHeight="1">
      <c r="A31" s="121"/>
      <c r="B31" s="126"/>
      <c r="C31" s="138"/>
      <c r="D31" s="144"/>
      <c r="E31" s="246">
        <v>172</v>
      </c>
      <c r="F31" s="145" t="s">
        <v>465</v>
      </c>
      <c r="G31" s="138"/>
      <c r="H31" s="145"/>
      <c r="I31" s="142"/>
    </row>
    <row r="32" spans="1:9" ht="15" customHeight="1">
      <c r="A32" s="121" t="s">
        <v>533</v>
      </c>
      <c r="B32" s="147">
        <v>29</v>
      </c>
      <c r="C32" s="138" t="s">
        <v>532</v>
      </c>
      <c r="D32" s="144"/>
      <c r="E32" s="246"/>
      <c r="F32" s="40" t="s">
        <v>531</v>
      </c>
      <c r="G32" s="138"/>
      <c r="H32" s="31"/>
      <c r="I32" s="142"/>
    </row>
    <row r="33" spans="1:9" ht="15" customHeight="1">
      <c r="A33" s="121"/>
      <c r="B33" s="126"/>
      <c r="C33" s="138"/>
      <c r="D33" s="245">
        <v>168</v>
      </c>
      <c r="E33" s="145" t="s">
        <v>530</v>
      </c>
      <c r="F33" s="148"/>
      <c r="G33" s="138"/>
      <c r="H33" s="145"/>
      <c r="I33" s="142"/>
    </row>
    <row r="34" spans="1:9" ht="15" customHeight="1">
      <c r="A34" s="121" t="s">
        <v>529</v>
      </c>
      <c r="B34" s="147">
        <v>5</v>
      </c>
      <c r="C34" s="138" t="s">
        <v>528</v>
      </c>
      <c r="D34" s="245"/>
      <c r="E34" s="40" t="s">
        <v>527</v>
      </c>
      <c r="F34" s="148"/>
      <c r="G34" s="138"/>
      <c r="H34" s="145"/>
      <c r="I34" s="142"/>
    </row>
    <row r="35" spans="1:9" ht="15.75">
      <c r="A35" s="131"/>
      <c r="B35" s="126"/>
      <c r="C35" s="124"/>
      <c r="D35" s="124"/>
      <c r="E35" s="124"/>
      <c r="F35" s="124"/>
      <c r="G35" s="124"/>
      <c r="H35" s="124"/>
      <c r="I35" s="124"/>
    </row>
  </sheetData>
  <sheetProtection sheet="1" formatCells="0" formatColumns="0" formatRows="0" insertColumns="0" insertRows="0" deleteColumns="0" deleteRows="0" sort="0" pivotTables="0"/>
  <mergeCells count="17">
    <mergeCell ref="D13:D14"/>
    <mergeCell ref="E15:E16"/>
    <mergeCell ref="D17:D18"/>
    <mergeCell ref="A1:H1"/>
    <mergeCell ref="A2:H2"/>
    <mergeCell ref="D5:D6"/>
    <mergeCell ref="E7:E8"/>
    <mergeCell ref="D9:D10"/>
    <mergeCell ref="F11:F12"/>
    <mergeCell ref="D33:D34"/>
    <mergeCell ref="G19:G20"/>
    <mergeCell ref="D21:D22"/>
    <mergeCell ref="D25:D26"/>
    <mergeCell ref="F27:F28"/>
    <mergeCell ref="D29:D30"/>
    <mergeCell ref="E31:E32"/>
    <mergeCell ref="E23:E24"/>
  </mergeCells>
  <conditionalFormatting sqref="B20 B22 B24 B26 B28 B30 B32 B34">
    <cfRule type="expression" priority="17" dxfId="333" stopIfTrue="1">
      <formula>$A$20="9"</formula>
    </cfRule>
  </conditionalFormatting>
  <conditionalFormatting sqref="C20 C34">
    <cfRule type="expression" priority="16" dxfId="905" stopIfTrue="1">
      <formula>$A$20="9"</formula>
    </cfRule>
  </conditionalFormatting>
  <conditionalFormatting sqref="C22 C24 C30 C32 E21 E29">
    <cfRule type="expression" priority="15" dxfId="888" stopIfTrue="1">
      <formula>$A$20="9"</formula>
    </cfRule>
  </conditionalFormatting>
  <conditionalFormatting sqref="C26 C28">
    <cfRule type="expression" priority="14" dxfId="906" stopIfTrue="1">
      <formula>$A$20="9"</formula>
    </cfRule>
  </conditionalFormatting>
  <conditionalFormatting sqref="D21:D22 D25:D26 D29:D30 D33:D34">
    <cfRule type="expression" priority="13" dxfId="907" stopIfTrue="1">
      <formula>$A$20="9"</formula>
    </cfRule>
  </conditionalFormatting>
  <conditionalFormatting sqref="E22 E30:F30 F25:F29 G12:G18 G21:G26">
    <cfRule type="expression" priority="12" dxfId="886" stopIfTrue="1">
      <formula>$A$20="9"</formula>
    </cfRule>
  </conditionalFormatting>
  <conditionalFormatting sqref="E25 E33 G27">
    <cfRule type="expression" priority="11" dxfId="889" stopIfTrue="1">
      <formula>$A$20="9"</formula>
    </cfRule>
  </conditionalFormatting>
  <conditionalFormatting sqref="F32">
    <cfRule type="expression" priority="10" dxfId="908" stopIfTrue="1">
      <formula>$A$20="9"</formula>
    </cfRule>
  </conditionalFormatting>
  <conditionalFormatting sqref="F31">
    <cfRule type="expression" priority="9" dxfId="909" stopIfTrue="1">
      <formula>$A$20="9"</formula>
    </cfRule>
  </conditionalFormatting>
  <conditionalFormatting sqref="H19">
    <cfRule type="expression" priority="8" dxfId="892" stopIfTrue="1">
      <formula>$A$20="9"</formula>
    </cfRule>
  </conditionalFormatting>
  <conditionalFormatting sqref="G19:G20">
    <cfRule type="expression" priority="7" dxfId="910" stopIfTrue="1">
      <formula>$A$20="9"</formula>
    </cfRule>
  </conditionalFormatting>
  <conditionalFormatting sqref="G11">
    <cfRule type="expression" priority="5" dxfId="888" stopIfTrue="1">
      <formula>$A$20="9"</formula>
    </cfRule>
    <cfRule type="expression" priority="6" dxfId="892" stopIfTrue="1">
      <formula>$A$4="1"</formula>
    </cfRule>
  </conditionalFormatting>
  <conditionalFormatting sqref="F11:F12">
    <cfRule type="expression" priority="3" dxfId="886" stopIfTrue="1">
      <formula>$A$20="9"</formula>
    </cfRule>
    <cfRule type="expression" priority="4" dxfId="910" stopIfTrue="1">
      <formula>$A$4="1"</formula>
    </cfRule>
  </conditionalFormatting>
  <conditionalFormatting sqref="F23">
    <cfRule type="expression" priority="2" dxfId="888" stopIfTrue="1">
      <formula>$A$20="9"</formula>
    </cfRule>
  </conditionalFormatting>
  <conditionalFormatting sqref="F24">
    <cfRule type="expression" priority="1" dxfId="886" stopIfTrue="1">
      <formula>$A$20="9"</formula>
    </cfRule>
  </conditionalFormatting>
  <printOptions horizontalCentered="1" verticalCentered="1"/>
  <pageMargins left="0.3937007874015748" right="0.5905511811023623" top="0.3937007874015748" bottom="0.3937007874015748" header="0" footer="0"/>
  <pageSetup fitToHeight="0"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H34"/>
  <sheetViews>
    <sheetView zoomScalePageLayoutView="0" workbookViewId="0" topLeftCell="A13">
      <selection activeCell="E26" sqref="E26"/>
    </sheetView>
  </sheetViews>
  <sheetFormatPr defaultColWidth="9.00390625" defaultRowHeight="12.75"/>
  <cols>
    <col min="1" max="1" width="3.25390625" style="0" bestFit="1" customWidth="1"/>
    <col min="2" max="2" width="4.375" style="0" bestFit="1" customWidth="1"/>
    <col min="3" max="3" width="46.75390625" style="0" bestFit="1" customWidth="1"/>
    <col min="4" max="4" width="4.375" style="0" bestFit="1" customWidth="1"/>
    <col min="5" max="6" width="14.25390625" style="0" bestFit="1" customWidth="1"/>
    <col min="7" max="7" width="13.125" style="0" bestFit="1" customWidth="1"/>
    <col min="8" max="8" width="23.625" style="0" bestFit="1" customWidth="1"/>
  </cols>
  <sheetData>
    <row r="1" spans="1:8" ht="30">
      <c r="A1" s="251" t="s">
        <v>73</v>
      </c>
      <c r="B1" s="251"/>
      <c r="C1" s="251"/>
      <c r="D1" s="251"/>
      <c r="E1" s="251"/>
      <c r="F1" s="251"/>
      <c r="G1" s="251"/>
      <c r="H1" s="251"/>
    </row>
    <row r="2" spans="1:8" ht="18.75">
      <c r="A2" s="244" t="s">
        <v>591</v>
      </c>
      <c r="B2" s="244"/>
      <c r="C2" s="244"/>
      <c r="D2" s="244"/>
      <c r="E2" s="244"/>
      <c r="F2" s="244"/>
      <c r="G2" s="244"/>
      <c r="H2" s="244"/>
    </row>
    <row r="3" spans="1:8" ht="15.75">
      <c r="A3" s="41"/>
      <c r="B3" s="23"/>
      <c r="C3" s="22"/>
      <c r="D3" s="24"/>
      <c r="E3" s="20"/>
      <c r="F3" s="20"/>
      <c r="G3" s="119"/>
      <c r="H3" s="120" t="s">
        <v>75</v>
      </c>
    </row>
    <row r="4" spans="1:8" ht="15.75">
      <c r="A4" s="121" t="s">
        <v>27</v>
      </c>
      <c r="B4" s="122">
        <v>24</v>
      </c>
      <c r="C4" s="123" t="s">
        <v>590</v>
      </c>
      <c r="D4" s="124"/>
      <c r="E4" s="124"/>
      <c r="F4" s="124"/>
      <c r="G4" s="125"/>
      <c r="H4" s="31"/>
    </row>
    <row r="5" spans="1:8" ht="15.75">
      <c r="A5" s="121"/>
      <c r="B5" s="126"/>
      <c r="C5" s="124"/>
      <c r="D5" s="248">
        <v>161</v>
      </c>
      <c r="E5" s="127" t="s">
        <v>414</v>
      </c>
      <c r="F5" s="124"/>
      <c r="G5" s="31"/>
      <c r="H5" s="31"/>
    </row>
    <row r="6" spans="1:8" ht="15.75">
      <c r="A6" s="121" t="s">
        <v>33</v>
      </c>
      <c r="B6" s="122">
        <v>62</v>
      </c>
      <c r="C6" s="128" t="s">
        <v>589</v>
      </c>
      <c r="D6" s="249"/>
      <c r="E6" s="37" t="s">
        <v>281</v>
      </c>
      <c r="F6" s="124"/>
      <c r="G6" s="124"/>
      <c r="H6" s="124"/>
    </row>
    <row r="7" spans="1:8" ht="15.75">
      <c r="A7" s="121"/>
      <c r="B7" s="126"/>
      <c r="C7" s="124"/>
      <c r="D7" s="130"/>
      <c r="E7" s="250">
        <v>169</v>
      </c>
      <c r="F7" s="131" t="s">
        <v>423</v>
      </c>
      <c r="G7" s="124"/>
      <c r="H7" s="124"/>
    </row>
    <row r="8" spans="1:8" ht="15.75">
      <c r="A8" s="121" t="s">
        <v>25</v>
      </c>
      <c r="B8" s="122">
        <v>50</v>
      </c>
      <c r="C8" s="128" t="s">
        <v>588</v>
      </c>
      <c r="D8" s="130"/>
      <c r="E8" s="250"/>
      <c r="F8" s="37" t="s">
        <v>587</v>
      </c>
      <c r="G8" s="132"/>
      <c r="H8" s="124"/>
    </row>
    <row r="9" spans="1:8" ht="15.75">
      <c r="A9" s="121"/>
      <c r="B9" s="126"/>
      <c r="C9" s="124"/>
      <c r="D9" s="248">
        <v>162</v>
      </c>
      <c r="E9" s="127" t="s">
        <v>423</v>
      </c>
      <c r="F9" s="133"/>
      <c r="G9" s="132"/>
      <c r="H9" s="124"/>
    </row>
    <row r="10" spans="1:8" ht="15.75">
      <c r="A10" s="121" t="s">
        <v>31</v>
      </c>
      <c r="B10" s="122">
        <v>47</v>
      </c>
      <c r="C10" s="134" t="s">
        <v>483</v>
      </c>
      <c r="D10" s="249"/>
      <c r="E10" s="43" t="s">
        <v>586</v>
      </c>
      <c r="F10" s="121"/>
      <c r="G10" s="132"/>
      <c r="H10" s="124"/>
    </row>
    <row r="11" spans="1:8" ht="15.75">
      <c r="A11" s="121"/>
      <c r="B11" s="126"/>
      <c r="C11" s="124"/>
      <c r="D11" s="130"/>
      <c r="E11" s="135"/>
      <c r="F11" s="250">
        <v>173</v>
      </c>
      <c r="G11" s="136" t="s">
        <v>423</v>
      </c>
      <c r="H11" s="124"/>
    </row>
    <row r="12" spans="1:8" ht="15.75">
      <c r="A12" s="121" t="s">
        <v>19</v>
      </c>
      <c r="B12" s="122">
        <v>44</v>
      </c>
      <c r="C12" s="134" t="s">
        <v>585</v>
      </c>
      <c r="D12" s="130"/>
      <c r="E12" s="135"/>
      <c r="F12" s="250"/>
      <c r="G12" s="137" t="s">
        <v>584</v>
      </c>
      <c r="H12" s="138"/>
    </row>
    <row r="13" spans="1:8" ht="15.75">
      <c r="A13" s="121"/>
      <c r="B13" s="126"/>
      <c r="C13" s="124"/>
      <c r="D13" s="248">
        <v>163</v>
      </c>
      <c r="E13" s="127" t="s">
        <v>429</v>
      </c>
      <c r="F13" s="121"/>
      <c r="G13" s="136"/>
      <c r="H13" s="138"/>
    </row>
    <row r="14" spans="1:8" ht="15.75">
      <c r="A14" s="121" t="s">
        <v>13</v>
      </c>
      <c r="B14" s="122">
        <v>65</v>
      </c>
      <c r="C14" s="128" t="s">
        <v>583</v>
      </c>
      <c r="D14" s="249"/>
      <c r="E14" s="37" t="s">
        <v>582</v>
      </c>
      <c r="F14" s="133"/>
      <c r="G14" s="136"/>
      <c r="H14" s="138"/>
    </row>
    <row r="15" spans="1:8" ht="15.75">
      <c r="A15" s="121"/>
      <c r="B15" s="126"/>
      <c r="C15" s="124"/>
      <c r="D15" s="130"/>
      <c r="E15" s="250">
        <v>170</v>
      </c>
      <c r="F15" s="139" t="s">
        <v>435</v>
      </c>
      <c r="G15" s="136"/>
      <c r="H15" s="138"/>
    </row>
    <row r="16" spans="1:8" ht="15.75">
      <c r="A16" s="121" t="s">
        <v>14</v>
      </c>
      <c r="B16" s="122">
        <v>108</v>
      </c>
      <c r="C16" s="128" t="s">
        <v>581</v>
      </c>
      <c r="D16" s="140"/>
      <c r="E16" s="250"/>
      <c r="F16" s="141" t="s">
        <v>580</v>
      </c>
      <c r="G16" s="142"/>
      <c r="H16" s="138"/>
    </row>
    <row r="17" spans="1:8" ht="15.75">
      <c r="A17" s="121"/>
      <c r="B17" s="126"/>
      <c r="C17" s="124"/>
      <c r="D17" s="248">
        <v>164</v>
      </c>
      <c r="E17" s="127" t="s">
        <v>435</v>
      </c>
      <c r="F17" s="143"/>
      <c r="G17" s="142"/>
      <c r="H17" s="138"/>
    </row>
    <row r="18" spans="1:8" ht="15.75">
      <c r="A18" s="121" t="s">
        <v>17</v>
      </c>
      <c r="B18" s="122">
        <v>38</v>
      </c>
      <c r="C18" s="123" t="s">
        <v>579</v>
      </c>
      <c r="D18" s="249"/>
      <c r="E18" s="184" t="s">
        <v>578</v>
      </c>
      <c r="F18" s="121"/>
      <c r="G18" s="142"/>
      <c r="H18" s="138"/>
    </row>
    <row r="19" spans="1:8" ht="15.75">
      <c r="A19" s="121"/>
      <c r="B19" s="126"/>
      <c r="C19" s="138"/>
      <c r="D19" s="144"/>
      <c r="E19" s="138"/>
      <c r="F19" s="145"/>
      <c r="G19" s="246">
        <v>175</v>
      </c>
      <c r="H19" s="146" t="s">
        <v>448</v>
      </c>
    </row>
    <row r="20" spans="1:8" ht="15.75">
      <c r="A20" s="121" t="s">
        <v>15</v>
      </c>
      <c r="B20" s="147">
        <v>28</v>
      </c>
      <c r="C20" s="138" t="s">
        <v>577</v>
      </c>
      <c r="D20" s="144"/>
      <c r="E20" s="148"/>
      <c r="F20" s="138"/>
      <c r="G20" s="246"/>
      <c r="H20" s="145" t="s">
        <v>576</v>
      </c>
    </row>
    <row r="21" spans="1:8" ht="15.75">
      <c r="A21" s="121"/>
      <c r="B21" s="126"/>
      <c r="C21" s="138"/>
      <c r="D21" s="245">
        <v>165</v>
      </c>
      <c r="E21" s="145" t="s">
        <v>448</v>
      </c>
      <c r="F21" s="138"/>
      <c r="G21" s="145"/>
      <c r="H21" s="138"/>
    </row>
    <row r="22" spans="1:8" ht="15.75">
      <c r="A22" s="121" t="s">
        <v>21</v>
      </c>
      <c r="B22" s="147">
        <v>82</v>
      </c>
      <c r="C22" s="138" t="s">
        <v>487</v>
      </c>
      <c r="D22" s="245"/>
      <c r="E22" s="40" t="s">
        <v>575</v>
      </c>
      <c r="F22" s="138"/>
      <c r="G22" s="145"/>
      <c r="H22" s="138"/>
    </row>
    <row r="23" spans="1:8" ht="15.75">
      <c r="A23" s="121"/>
      <c r="B23" s="126"/>
      <c r="C23" s="138"/>
      <c r="D23" s="149"/>
      <c r="E23" s="246">
        <v>171</v>
      </c>
      <c r="F23" s="145" t="s">
        <v>448</v>
      </c>
      <c r="G23" s="145"/>
      <c r="H23" s="138"/>
    </row>
    <row r="24" spans="1:8" ht="15.75">
      <c r="A24" s="121" t="s">
        <v>511</v>
      </c>
      <c r="B24" s="147">
        <v>94</v>
      </c>
      <c r="C24" s="138" t="s">
        <v>574</v>
      </c>
      <c r="D24" s="149"/>
      <c r="E24" s="246"/>
      <c r="F24" s="40" t="s">
        <v>573</v>
      </c>
      <c r="G24" s="138"/>
      <c r="H24" s="138"/>
    </row>
    <row r="25" spans="1:8" ht="15.75">
      <c r="A25" s="121"/>
      <c r="B25" s="126"/>
      <c r="C25" s="138"/>
      <c r="D25" s="245">
        <v>166</v>
      </c>
      <c r="E25" s="145" t="s">
        <v>384</v>
      </c>
      <c r="F25" s="138"/>
      <c r="G25" s="138"/>
      <c r="H25" s="138"/>
    </row>
    <row r="26" spans="1:8" ht="15.75">
      <c r="A26" s="121" t="s">
        <v>542</v>
      </c>
      <c r="B26" s="147">
        <v>46</v>
      </c>
      <c r="C26" s="138" t="s">
        <v>572</v>
      </c>
      <c r="D26" s="245"/>
      <c r="E26" s="40" t="s">
        <v>571</v>
      </c>
      <c r="F26" s="138"/>
      <c r="G26" s="138"/>
      <c r="H26" s="138"/>
    </row>
    <row r="27" spans="1:8" ht="15.75">
      <c r="A27" s="121"/>
      <c r="B27" s="126"/>
      <c r="C27" s="138"/>
      <c r="D27" s="149"/>
      <c r="E27" s="145"/>
      <c r="F27" s="246">
        <v>174</v>
      </c>
      <c r="G27" s="145" t="s">
        <v>448</v>
      </c>
      <c r="H27" s="138"/>
    </row>
    <row r="28" spans="1:8" ht="15.75">
      <c r="A28" s="121" t="s">
        <v>539</v>
      </c>
      <c r="B28" s="147">
        <v>48</v>
      </c>
      <c r="C28" s="138" t="s">
        <v>570</v>
      </c>
      <c r="D28" s="144"/>
      <c r="E28" s="138"/>
      <c r="F28" s="246"/>
      <c r="G28" s="40" t="s">
        <v>569</v>
      </c>
      <c r="H28" s="146"/>
    </row>
    <row r="29" spans="1:8" ht="15.75">
      <c r="A29" s="121"/>
      <c r="B29" s="126"/>
      <c r="C29" s="138"/>
      <c r="D29" s="245">
        <v>167</v>
      </c>
      <c r="E29" s="145" t="s">
        <v>419</v>
      </c>
      <c r="F29" s="148"/>
      <c r="G29" s="138"/>
      <c r="H29" s="145"/>
    </row>
    <row r="30" spans="1:8" ht="15.75">
      <c r="A30" s="121" t="s">
        <v>536</v>
      </c>
      <c r="B30" s="147">
        <v>57</v>
      </c>
      <c r="C30" s="138" t="s">
        <v>568</v>
      </c>
      <c r="D30" s="245"/>
      <c r="E30" s="40" t="s">
        <v>567</v>
      </c>
      <c r="F30" s="148"/>
      <c r="G30" s="138"/>
      <c r="H30" s="145"/>
    </row>
    <row r="31" spans="1:8" ht="15.75">
      <c r="A31" s="121"/>
      <c r="B31" s="126"/>
      <c r="C31" s="138"/>
      <c r="D31" s="144"/>
      <c r="E31" s="246">
        <v>172</v>
      </c>
      <c r="F31" s="145" t="s">
        <v>419</v>
      </c>
      <c r="G31" s="138"/>
      <c r="H31" s="145"/>
    </row>
    <row r="32" spans="1:8" ht="15.75">
      <c r="A32" s="121" t="s">
        <v>533</v>
      </c>
      <c r="B32" s="147">
        <v>49</v>
      </c>
      <c r="C32" s="138" t="s">
        <v>566</v>
      </c>
      <c r="D32" s="144"/>
      <c r="E32" s="246"/>
      <c r="F32" s="40" t="s">
        <v>565</v>
      </c>
      <c r="G32" s="138"/>
      <c r="H32" s="31"/>
    </row>
    <row r="33" spans="1:8" ht="15.75">
      <c r="A33" s="121"/>
      <c r="B33" s="126"/>
      <c r="C33" s="138"/>
      <c r="D33" s="245">
        <v>168</v>
      </c>
      <c r="E33" s="145" t="s">
        <v>425</v>
      </c>
      <c r="F33" s="148"/>
      <c r="G33" s="138"/>
      <c r="H33" s="145"/>
    </row>
    <row r="34" spans="1:8" ht="15.75">
      <c r="A34" s="121" t="s">
        <v>529</v>
      </c>
      <c r="B34" s="147">
        <v>27</v>
      </c>
      <c r="C34" s="138" t="s">
        <v>564</v>
      </c>
      <c r="D34" s="245"/>
      <c r="E34" s="40" t="s">
        <v>563</v>
      </c>
      <c r="F34" s="148"/>
      <c r="G34" s="138"/>
      <c r="H34" s="145"/>
    </row>
  </sheetData>
  <sheetProtection/>
  <mergeCells count="17">
    <mergeCell ref="D13:D14"/>
    <mergeCell ref="E15:E16"/>
    <mergeCell ref="D17:D18"/>
    <mergeCell ref="A1:H1"/>
    <mergeCell ref="A2:H2"/>
    <mergeCell ref="D5:D6"/>
    <mergeCell ref="E7:E8"/>
    <mergeCell ref="D9:D10"/>
    <mergeCell ref="F11:F12"/>
    <mergeCell ref="D33:D34"/>
    <mergeCell ref="G19:G20"/>
    <mergeCell ref="D21:D22"/>
    <mergeCell ref="D25:D26"/>
    <mergeCell ref="F27:F28"/>
    <mergeCell ref="D29:D30"/>
    <mergeCell ref="E31:E32"/>
    <mergeCell ref="E23:E24"/>
  </mergeCells>
  <conditionalFormatting sqref="B20 B22 B24 B26 B28 B30 B32 B34">
    <cfRule type="expression" priority="17" dxfId="333" stopIfTrue="1">
      <formula>$A$20="9"</formula>
    </cfRule>
  </conditionalFormatting>
  <conditionalFormatting sqref="C20 C34">
    <cfRule type="expression" priority="16" dxfId="905" stopIfTrue="1">
      <formula>$A$20="9"</formula>
    </cfRule>
  </conditionalFormatting>
  <conditionalFormatting sqref="C22 C24 C30 C32 E21 E29">
    <cfRule type="expression" priority="15" dxfId="888" stopIfTrue="1">
      <formula>$A$20="9"</formula>
    </cfRule>
  </conditionalFormatting>
  <conditionalFormatting sqref="C26 C28">
    <cfRule type="expression" priority="14" dxfId="906" stopIfTrue="1">
      <formula>$A$20="9"</formula>
    </cfRule>
  </conditionalFormatting>
  <conditionalFormatting sqref="D21:D22 D25:D26 D29:D30 D33:D34">
    <cfRule type="expression" priority="13" dxfId="907" stopIfTrue="1">
      <formula>$A$20="9"</formula>
    </cfRule>
  </conditionalFormatting>
  <conditionalFormatting sqref="E22 E30:F30 F25:F29 G12:G18 G21:G26">
    <cfRule type="expression" priority="12" dxfId="886" stopIfTrue="1">
      <formula>$A$20="9"</formula>
    </cfRule>
  </conditionalFormatting>
  <conditionalFormatting sqref="E25 E33 G27">
    <cfRule type="expression" priority="11" dxfId="889" stopIfTrue="1">
      <formula>$A$20="9"</formula>
    </cfRule>
  </conditionalFormatting>
  <conditionalFormatting sqref="F23">
    <cfRule type="expression" priority="10" dxfId="891" stopIfTrue="1">
      <formula>$A$20="9"</formula>
    </cfRule>
  </conditionalFormatting>
  <conditionalFormatting sqref="F24">
    <cfRule type="expression" priority="9" dxfId="911" stopIfTrue="1">
      <formula>$A$20="9"</formula>
    </cfRule>
  </conditionalFormatting>
  <conditionalFormatting sqref="F32">
    <cfRule type="expression" priority="8" dxfId="908" stopIfTrue="1">
      <formula>$A$20="9"</formula>
    </cfRule>
  </conditionalFormatting>
  <conditionalFormatting sqref="F31">
    <cfRule type="expression" priority="7" dxfId="909" stopIfTrue="1">
      <formula>$A$20="9"</formula>
    </cfRule>
  </conditionalFormatting>
  <conditionalFormatting sqref="H19">
    <cfRule type="expression" priority="6" dxfId="892" stopIfTrue="1">
      <formula>$A$20="9"</formula>
    </cfRule>
  </conditionalFormatting>
  <conditionalFormatting sqref="G19:G20">
    <cfRule type="expression" priority="5" dxfId="910" stopIfTrue="1">
      <formula>$A$20="9"</formula>
    </cfRule>
  </conditionalFormatting>
  <conditionalFormatting sqref="G11">
    <cfRule type="expression" priority="3" dxfId="888" stopIfTrue="1">
      <formula>$A$20="9"</formula>
    </cfRule>
    <cfRule type="expression" priority="4" dxfId="892" stopIfTrue="1">
      <formula>$A$4="1"</formula>
    </cfRule>
  </conditionalFormatting>
  <conditionalFormatting sqref="F11:F12">
    <cfRule type="expression" priority="1" dxfId="886" stopIfTrue="1">
      <formula>$A$20="9"</formula>
    </cfRule>
    <cfRule type="expression" priority="2" dxfId="910" stopIfTrue="1">
      <formula>$A$4="1"</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indexed="52"/>
  </sheetPr>
  <dimension ref="A1:O159"/>
  <sheetViews>
    <sheetView showGridLines="0" view="pageBreakPreview" zoomScaleNormal="75" zoomScaleSheetLayoutView="100" zoomScalePageLayoutView="0" workbookViewId="0" topLeftCell="A88">
      <selection activeCell="L151" sqref="L151"/>
    </sheetView>
  </sheetViews>
  <sheetFormatPr defaultColWidth="9.00390625" defaultRowHeight="12.75"/>
  <cols>
    <col min="1" max="1" width="4.875" style="41" customWidth="1"/>
    <col min="2" max="2" width="4.125" style="23" customWidth="1"/>
    <col min="3" max="3" width="32.625" style="20" customWidth="1"/>
    <col min="4" max="4" width="5.125" style="22" customWidth="1"/>
    <col min="5" max="7" width="15.75390625" style="20" customWidth="1"/>
    <col min="8" max="8" width="17.00390625" style="25" customWidth="1"/>
    <col min="9" max="9" width="0.875" style="20" customWidth="1"/>
    <col min="10" max="16384" width="9.125" style="20" customWidth="1"/>
  </cols>
  <sheetData>
    <row r="1" spans="1:11" ht="22.5" customHeight="1">
      <c r="A1" s="196" t="s">
        <v>73</v>
      </c>
      <c r="B1" s="196"/>
      <c r="C1" s="196"/>
      <c r="D1" s="196"/>
      <c r="E1" s="196"/>
      <c r="F1" s="196"/>
      <c r="G1" s="196"/>
      <c r="H1" s="196"/>
      <c r="K1" s="21"/>
    </row>
    <row r="2" spans="1:8" ht="17.25" customHeight="1">
      <c r="A2" s="244" t="s">
        <v>649</v>
      </c>
      <c r="B2" s="244"/>
      <c r="C2" s="244"/>
      <c r="D2" s="244"/>
      <c r="E2" s="244"/>
      <c r="F2" s="244"/>
      <c r="G2" s="244"/>
      <c r="H2" s="244"/>
    </row>
    <row r="3" spans="3:8" ht="13.5" customHeight="1">
      <c r="C3" s="22"/>
      <c r="D3" s="24"/>
      <c r="G3" s="197" t="s">
        <v>75</v>
      </c>
      <c r="H3" s="197"/>
    </row>
    <row r="4" spans="1:10" ht="12.75" customHeight="1">
      <c r="A4" s="54">
        <v>1</v>
      </c>
      <c r="B4" s="66">
        <v>43</v>
      </c>
      <c r="C4" s="38" t="s">
        <v>484</v>
      </c>
      <c r="D4" s="27"/>
      <c r="E4" s="27"/>
      <c r="F4" s="27"/>
      <c r="G4" s="35"/>
      <c r="H4" s="150" t="s">
        <v>46</v>
      </c>
      <c r="J4" s="21"/>
    </row>
    <row r="5" spans="1:10" ht="12.75" customHeight="1">
      <c r="A5" s="54"/>
      <c r="B5" s="66"/>
      <c r="C5" s="27"/>
      <c r="D5" s="188">
        <v>177</v>
      </c>
      <c r="E5" s="54" t="s">
        <v>430</v>
      </c>
      <c r="F5" s="27"/>
      <c r="G5" s="35"/>
      <c r="H5" s="151"/>
      <c r="J5" s="21"/>
    </row>
    <row r="6" spans="1:8" ht="12.75" customHeight="1">
      <c r="A6" s="54">
        <v>2</v>
      </c>
      <c r="B6" s="66" t="s">
        <v>78</v>
      </c>
      <c r="C6" s="27" t="s">
        <v>79</v>
      </c>
      <c r="D6" s="188"/>
      <c r="E6" s="54" t="s">
        <v>78</v>
      </c>
      <c r="F6" s="27"/>
      <c r="G6" s="22"/>
      <c r="H6" s="34"/>
    </row>
    <row r="7" spans="1:8" ht="12.75" customHeight="1">
      <c r="A7" s="54"/>
      <c r="B7" s="66"/>
      <c r="C7" s="27"/>
      <c r="D7" s="49"/>
      <c r="E7" s="189">
        <v>209</v>
      </c>
      <c r="F7" s="54" t="s">
        <v>430</v>
      </c>
      <c r="G7" s="22"/>
      <c r="H7" s="34"/>
    </row>
    <row r="8" spans="1:8" ht="12.75" customHeight="1">
      <c r="A8" s="54">
        <v>3</v>
      </c>
      <c r="B8" s="66">
        <v>98</v>
      </c>
      <c r="C8" s="27" t="s">
        <v>701</v>
      </c>
      <c r="D8" s="49"/>
      <c r="E8" s="189"/>
      <c r="F8" s="54" t="s">
        <v>700</v>
      </c>
      <c r="G8" s="38"/>
      <c r="H8" s="34"/>
    </row>
    <row r="9" spans="1:8" ht="12.75" customHeight="1">
      <c r="A9" s="54"/>
      <c r="B9" s="66"/>
      <c r="C9" s="27"/>
      <c r="D9" s="188">
        <v>178</v>
      </c>
      <c r="E9" s="54" t="s">
        <v>381</v>
      </c>
      <c r="F9" s="54"/>
      <c r="G9" s="38"/>
      <c r="H9" s="34"/>
    </row>
    <row r="10" spans="1:8" ht="12.75" customHeight="1">
      <c r="A10" s="54">
        <v>4</v>
      </c>
      <c r="B10" s="66">
        <v>67</v>
      </c>
      <c r="C10" s="27" t="s">
        <v>699</v>
      </c>
      <c r="D10" s="188"/>
      <c r="E10" s="54" t="s">
        <v>698</v>
      </c>
      <c r="F10" s="54"/>
      <c r="G10" s="38"/>
      <c r="H10" s="34"/>
    </row>
    <row r="11" spans="1:8" ht="12.75" customHeight="1">
      <c r="A11" s="54"/>
      <c r="B11" s="66"/>
      <c r="C11" s="27"/>
      <c r="D11" s="49"/>
      <c r="E11" s="44"/>
      <c r="F11" s="189">
        <v>225</v>
      </c>
      <c r="G11" s="54" t="s">
        <v>338</v>
      </c>
      <c r="H11" s="34"/>
    </row>
    <row r="12" spans="1:8" ht="12.75" customHeight="1">
      <c r="A12" s="54">
        <v>5</v>
      </c>
      <c r="B12" s="66">
        <v>70</v>
      </c>
      <c r="C12" s="27" t="s">
        <v>697</v>
      </c>
      <c r="D12" s="49"/>
      <c r="E12" s="44"/>
      <c r="F12" s="189"/>
      <c r="G12" s="54" t="s">
        <v>696</v>
      </c>
      <c r="H12" s="38"/>
    </row>
    <row r="13" spans="1:8" ht="12.75" customHeight="1">
      <c r="A13" s="54"/>
      <c r="B13" s="66"/>
      <c r="C13" s="27"/>
      <c r="D13" s="188">
        <v>179</v>
      </c>
      <c r="E13" s="54" t="s">
        <v>338</v>
      </c>
      <c r="F13" s="54"/>
      <c r="G13" s="40"/>
      <c r="H13" s="38"/>
    </row>
    <row r="14" spans="1:8" ht="12.75" customHeight="1">
      <c r="A14" s="54">
        <v>6</v>
      </c>
      <c r="B14" s="66">
        <v>194</v>
      </c>
      <c r="C14" s="27" t="s">
        <v>695</v>
      </c>
      <c r="D14" s="188"/>
      <c r="E14" s="54" t="s">
        <v>671</v>
      </c>
      <c r="F14" s="54"/>
      <c r="G14" s="40"/>
      <c r="H14" s="38"/>
    </row>
    <row r="15" spans="1:13" ht="12.75" customHeight="1">
      <c r="A15" s="54"/>
      <c r="B15" s="66"/>
      <c r="C15" s="27"/>
      <c r="D15" s="49"/>
      <c r="E15" s="189">
        <v>210</v>
      </c>
      <c r="F15" s="54" t="s">
        <v>338</v>
      </c>
      <c r="G15" s="40"/>
      <c r="H15" s="38"/>
      <c r="M15" s="152"/>
    </row>
    <row r="16" spans="1:8" ht="12.75" customHeight="1">
      <c r="A16" s="54">
        <v>7</v>
      </c>
      <c r="B16" s="66">
        <v>80</v>
      </c>
      <c r="C16" s="27" t="s">
        <v>694</v>
      </c>
      <c r="D16" s="49"/>
      <c r="E16" s="189"/>
      <c r="F16" s="54" t="s">
        <v>693</v>
      </c>
      <c r="G16" s="27"/>
      <c r="H16" s="38"/>
    </row>
    <row r="17" spans="1:8" ht="12.75" customHeight="1">
      <c r="A17" s="54"/>
      <c r="B17" s="66" t="s">
        <v>52</v>
      </c>
      <c r="C17" s="27"/>
      <c r="D17" s="188">
        <v>180</v>
      </c>
      <c r="E17" s="54" t="s">
        <v>400</v>
      </c>
      <c r="F17" s="68"/>
      <c r="G17" s="27"/>
      <c r="H17" s="38"/>
    </row>
    <row r="18" spans="1:8" ht="12.75" customHeight="1">
      <c r="A18" s="54">
        <v>8</v>
      </c>
      <c r="B18" s="66">
        <v>180</v>
      </c>
      <c r="C18" s="27" t="s">
        <v>489</v>
      </c>
      <c r="D18" s="188"/>
      <c r="E18" s="54" t="s">
        <v>692</v>
      </c>
      <c r="F18" s="54"/>
      <c r="G18" s="27"/>
      <c r="H18" s="38"/>
    </row>
    <row r="19" spans="1:8" ht="12.75" customHeight="1">
      <c r="A19" s="54"/>
      <c r="C19" s="27"/>
      <c r="D19" s="49"/>
      <c r="E19" s="68"/>
      <c r="F19" s="54"/>
      <c r="G19" s="189">
        <v>233</v>
      </c>
      <c r="H19" s="40" t="s">
        <v>336</v>
      </c>
    </row>
    <row r="20" spans="1:9" ht="12.75" customHeight="1">
      <c r="A20" s="54">
        <v>9</v>
      </c>
      <c r="B20" s="66">
        <v>138</v>
      </c>
      <c r="C20" s="27" t="s">
        <v>691</v>
      </c>
      <c r="D20" s="49"/>
      <c r="E20" s="44"/>
      <c r="F20" s="68"/>
      <c r="G20" s="189"/>
      <c r="H20" s="40" t="s">
        <v>690</v>
      </c>
      <c r="I20" s="68"/>
    </row>
    <row r="21" spans="1:9" ht="12.75" customHeight="1">
      <c r="A21" s="54"/>
      <c r="C21" s="27"/>
      <c r="D21" s="188">
        <v>181</v>
      </c>
      <c r="E21" s="54" t="s">
        <v>336</v>
      </c>
      <c r="F21" s="27"/>
      <c r="G21" s="40"/>
      <c r="H21" s="38"/>
      <c r="I21" s="68"/>
    </row>
    <row r="22" spans="1:9" ht="12.75" customHeight="1">
      <c r="A22" s="54">
        <v>10</v>
      </c>
      <c r="B22" s="66">
        <v>195</v>
      </c>
      <c r="C22" s="27" t="s">
        <v>689</v>
      </c>
      <c r="D22" s="188"/>
      <c r="E22" s="54" t="s">
        <v>688</v>
      </c>
      <c r="F22" s="27"/>
      <c r="G22" s="40"/>
      <c r="H22" s="38"/>
      <c r="I22" s="68"/>
    </row>
    <row r="23" spans="1:9" ht="12.75" customHeight="1">
      <c r="A23" s="54"/>
      <c r="C23" s="27"/>
      <c r="D23" s="51"/>
      <c r="E23" s="189">
        <v>211</v>
      </c>
      <c r="F23" s="54" t="s">
        <v>336</v>
      </c>
      <c r="G23" s="40"/>
      <c r="H23" s="38"/>
      <c r="I23" s="68"/>
    </row>
    <row r="24" spans="1:9" ht="12.75" customHeight="1">
      <c r="A24" s="54">
        <v>11</v>
      </c>
      <c r="B24" s="66">
        <v>119</v>
      </c>
      <c r="C24" s="27" t="s">
        <v>482</v>
      </c>
      <c r="D24" s="51"/>
      <c r="E24" s="189"/>
      <c r="F24" s="54" t="s">
        <v>687</v>
      </c>
      <c r="G24" s="27"/>
      <c r="H24" s="38"/>
      <c r="I24" s="68"/>
    </row>
    <row r="25" spans="1:9" ht="12.75" customHeight="1">
      <c r="A25" s="54"/>
      <c r="C25" s="27"/>
      <c r="D25" s="188">
        <v>182</v>
      </c>
      <c r="E25" s="54" t="s">
        <v>388</v>
      </c>
      <c r="F25" s="27"/>
      <c r="G25" s="27"/>
      <c r="H25" s="38"/>
      <c r="I25" s="68"/>
    </row>
    <row r="26" spans="1:9" ht="12.75" customHeight="1">
      <c r="A26" s="54">
        <v>12</v>
      </c>
      <c r="B26" s="66">
        <v>91</v>
      </c>
      <c r="C26" s="27" t="s">
        <v>686</v>
      </c>
      <c r="D26" s="188"/>
      <c r="E26" s="54" t="s">
        <v>685</v>
      </c>
      <c r="F26" s="27"/>
      <c r="G26" s="27"/>
      <c r="H26" s="38"/>
      <c r="I26" s="68"/>
    </row>
    <row r="27" spans="1:9" ht="12.75" customHeight="1">
      <c r="A27" s="54"/>
      <c r="C27" s="27"/>
      <c r="D27" s="51"/>
      <c r="E27" s="54"/>
      <c r="F27" s="189">
        <v>226</v>
      </c>
      <c r="G27" s="54" t="s">
        <v>336</v>
      </c>
      <c r="H27" s="38"/>
      <c r="I27" s="68"/>
    </row>
    <row r="28" spans="1:9" ht="12.75" customHeight="1">
      <c r="A28" s="54">
        <v>13</v>
      </c>
      <c r="B28" s="66">
        <v>132</v>
      </c>
      <c r="C28" s="27" t="s">
        <v>684</v>
      </c>
      <c r="D28" s="49"/>
      <c r="E28" s="27"/>
      <c r="F28" s="189"/>
      <c r="G28" s="54" t="s">
        <v>683</v>
      </c>
      <c r="H28" s="48"/>
      <c r="I28" s="68"/>
    </row>
    <row r="29" spans="1:9" ht="12.75" customHeight="1">
      <c r="A29" s="54"/>
      <c r="C29" s="68"/>
      <c r="D29" s="188">
        <v>183</v>
      </c>
      <c r="E29" s="54" t="s">
        <v>349</v>
      </c>
      <c r="F29" s="44"/>
      <c r="G29" s="27"/>
      <c r="H29" s="40"/>
      <c r="I29" s="68"/>
    </row>
    <row r="30" spans="1:9" ht="12.75" customHeight="1">
      <c r="A30" s="54">
        <v>14</v>
      </c>
      <c r="B30" s="66">
        <v>183</v>
      </c>
      <c r="C30" s="27" t="s">
        <v>682</v>
      </c>
      <c r="D30" s="188"/>
      <c r="E30" s="54" t="s">
        <v>681</v>
      </c>
      <c r="F30" s="44"/>
      <c r="G30" s="27"/>
      <c r="H30" s="40"/>
      <c r="I30" s="68"/>
    </row>
    <row r="31" spans="1:9" ht="12.75" customHeight="1">
      <c r="A31" s="54"/>
      <c r="C31" s="27"/>
      <c r="D31" s="49"/>
      <c r="E31" s="189">
        <v>212</v>
      </c>
      <c r="F31" s="54" t="s">
        <v>349</v>
      </c>
      <c r="G31" s="27"/>
      <c r="H31" s="40"/>
      <c r="I31" s="68"/>
    </row>
    <row r="32" spans="1:9" ht="12.75" customHeight="1">
      <c r="A32" s="54">
        <v>15</v>
      </c>
      <c r="B32" s="66">
        <v>192</v>
      </c>
      <c r="C32" s="27" t="s">
        <v>680</v>
      </c>
      <c r="D32" s="49"/>
      <c r="E32" s="189"/>
      <c r="F32" s="54" t="s">
        <v>679</v>
      </c>
      <c r="G32" s="27"/>
      <c r="H32" s="59"/>
      <c r="I32" s="68"/>
    </row>
    <row r="33" spans="1:9" ht="12.75" customHeight="1">
      <c r="A33" s="54"/>
      <c r="C33" s="27"/>
      <c r="D33" s="188">
        <v>184</v>
      </c>
      <c r="E33" s="54" t="s">
        <v>341</v>
      </c>
      <c r="F33" s="44"/>
      <c r="G33" s="27"/>
      <c r="H33" s="40"/>
      <c r="I33" s="68"/>
    </row>
    <row r="34" spans="1:9" ht="12.75" customHeight="1">
      <c r="A34" s="54">
        <v>16</v>
      </c>
      <c r="B34" s="66">
        <v>64</v>
      </c>
      <c r="C34" s="38" t="s">
        <v>678</v>
      </c>
      <c r="D34" s="188"/>
      <c r="E34" s="54" t="s">
        <v>677</v>
      </c>
      <c r="F34" s="44"/>
      <c r="G34" s="27"/>
      <c r="H34" s="40"/>
      <c r="I34" s="68"/>
    </row>
    <row r="35" spans="1:9" ht="15.75" customHeight="1">
      <c r="A35" s="54"/>
      <c r="B35" s="27"/>
      <c r="C35" s="25"/>
      <c r="D35" s="25"/>
      <c r="E35" s="25"/>
      <c r="F35" s="56"/>
      <c r="G35" s="259">
        <v>237</v>
      </c>
      <c r="H35" s="153" t="s">
        <v>399</v>
      </c>
      <c r="I35" s="68"/>
    </row>
    <row r="36" spans="1:9" ht="12.75" customHeight="1">
      <c r="A36" s="54">
        <v>17</v>
      </c>
      <c r="B36" s="66">
        <v>63</v>
      </c>
      <c r="C36" s="38" t="s">
        <v>676</v>
      </c>
      <c r="D36" s="154"/>
      <c r="E36" s="25"/>
      <c r="F36" s="46"/>
      <c r="G36" s="259"/>
      <c r="H36" s="155" t="s">
        <v>675</v>
      </c>
      <c r="I36" s="68"/>
    </row>
    <row r="37" spans="1:9" ht="12.75" customHeight="1">
      <c r="A37" s="54"/>
      <c r="B37" s="27"/>
      <c r="C37" s="46"/>
      <c r="D37" s="260">
        <v>185</v>
      </c>
      <c r="E37" s="40" t="s">
        <v>413</v>
      </c>
      <c r="F37" s="46"/>
      <c r="G37" s="40"/>
      <c r="H37" s="40"/>
      <c r="I37" s="68"/>
    </row>
    <row r="38" spans="1:9" ht="12.75" customHeight="1">
      <c r="A38" s="54">
        <v>18</v>
      </c>
      <c r="B38" s="48" t="s">
        <v>78</v>
      </c>
      <c r="C38" s="38" t="s">
        <v>79</v>
      </c>
      <c r="D38" s="260"/>
      <c r="E38" s="40" t="s">
        <v>78</v>
      </c>
      <c r="F38" s="56"/>
      <c r="G38" s="40"/>
      <c r="H38" s="40"/>
      <c r="I38" s="68"/>
    </row>
    <row r="39" spans="1:9" ht="12.75" customHeight="1">
      <c r="A39" s="54"/>
      <c r="B39" s="27"/>
      <c r="C39" s="46"/>
      <c r="D39" s="46"/>
      <c r="E39" s="190">
        <v>213</v>
      </c>
      <c r="F39" s="40" t="s">
        <v>413</v>
      </c>
      <c r="G39" s="40"/>
      <c r="H39" s="40"/>
      <c r="I39" s="68"/>
    </row>
    <row r="40" spans="1:9" ht="12.75" customHeight="1">
      <c r="A40" s="54">
        <v>19</v>
      </c>
      <c r="B40" s="48">
        <v>104</v>
      </c>
      <c r="C40" s="38" t="s">
        <v>674</v>
      </c>
      <c r="D40" s="156"/>
      <c r="E40" s="190"/>
      <c r="F40" s="40" t="s">
        <v>673</v>
      </c>
      <c r="G40" s="40"/>
      <c r="H40" s="40"/>
      <c r="I40" s="68"/>
    </row>
    <row r="41" spans="1:9" ht="12.75" customHeight="1">
      <c r="A41" s="54"/>
      <c r="B41" s="27"/>
      <c r="C41" s="38"/>
      <c r="D41" s="188">
        <v>186</v>
      </c>
      <c r="E41" s="40" t="s">
        <v>409</v>
      </c>
      <c r="F41" s="56"/>
      <c r="G41" s="40"/>
      <c r="H41" s="40"/>
      <c r="I41" s="68"/>
    </row>
    <row r="42" spans="1:9" ht="12.75" customHeight="1">
      <c r="A42" s="54">
        <v>20</v>
      </c>
      <c r="B42" s="48">
        <v>66</v>
      </c>
      <c r="C42" s="38" t="s">
        <v>672</v>
      </c>
      <c r="D42" s="188"/>
      <c r="E42" s="40" t="s">
        <v>671</v>
      </c>
      <c r="F42" s="56"/>
      <c r="G42" s="40"/>
      <c r="H42" s="40"/>
      <c r="I42" s="68"/>
    </row>
    <row r="43" spans="1:9" ht="12.75" customHeight="1">
      <c r="A43" s="54"/>
      <c r="B43" s="27"/>
      <c r="C43" s="38"/>
      <c r="D43" s="156"/>
      <c r="E43" s="38"/>
      <c r="F43" s="190">
        <v>227</v>
      </c>
      <c r="G43" s="40" t="s">
        <v>389</v>
      </c>
      <c r="H43" s="40"/>
      <c r="I43" s="68"/>
    </row>
    <row r="44" spans="1:9" ht="12.75" customHeight="1">
      <c r="A44" s="54">
        <v>21</v>
      </c>
      <c r="B44" s="48">
        <v>89</v>
      </c>
      <c r="C44" s="38" t="s">
        <v>670</v>
      </c>
      <c r="D44" s="156"/>
      <c r="E44" s="38"/>
      <c r="F44" s="190"/>
      <c r="G44" s="40" t="s">
        <v>669</v>
      </c>
      <c r="H44" s="40"/>
      <c r="I44" s="68"/>
    </row>
    <row r="45" spans="1:9" ht="12.75" customHeight="1">
      <c r="A45" s="54"/>
      <c r="B45" s="27"/>
      <c r="C45" s="38"/>
      <c r="D45" s="188">
        <v>187</v>
      </c>
      <c r="E45" s="40" t="s">
        <v>389</v>
      </c>
      <c r="F45" s="56"/>
      <c r="G45" s="40"/>
      <c r="H45" s="40"/>
      <c r="I45" s="68"/>
    </row>
    <row r="46" spans="1:9" ht="12.75" customHeight="1">
      <c r="A46" s="54">
        <v>22</v>
      </c>
      <c r="B46" s="48">
        <v>72</v>
      </c>
      <c r="C46" s="38" t="s">
        <v>668</v>
      </c>
      <c r="D46" s="188"/>
      <c r="E46" s="40" t="s">
        <v>667</v>
      </c>
      <c r="F46" s="56"/>
      <c r="G46" s="40"/>
      <c r="H46" s="40"/>
      <c r="I46" s="68"/>
    </row>
    <row r="47" spans="1:9" ht="12.75" customHeight="1">
      <c r="A47" s="54"/>
      <c r="B47" s="27"/>
      <c r="C47" s="38"/>
      <c r="D47" s="156"/>
      <c r="E47" s="189">
        <v>214</v>
      </c>
      <c r="F47" s="40" t="s">
        <v>389</v>
      </c>
      <c r="G47" s="40"/>
      <c r="H47" s="40"/>
      <c r="I47" s="68"/>
    </row>
    <row r="48" spans="1:9" ht="12.75" customHeight="1">
      <c r="A48" s="54">
        <v>23</v>
      </c>
      <c r="B48" s="48">
        <v>184</v>
      </c>
      <c r="C48" s="38" t="s">
        <v>666</v>
      </c>
      <c r="D48" s="156"/>
      <c r="E48" s="189"/>
      <c r="F48" s="40" t="s">
        <v>665</v>
      </c>
      <c r="G48" s="40"/>
      <c r="H48" s="40"/>
      <c r="I48" s="68"/>
    </row>
    <row r="49" spans="1:9" ht="12.75" customHeight="1">
      <c r="A49" s="54"/>
      <c r="B49" s="27"/>
      <c r="C49" s="38"/>
      <c r="D49" s="188">
        <v>188</v>
      </c>
      <c r="E49" s="40" t="s">
        <v>383</v>
      </c>
      <c r="F49" s="56"/>
      <c r="G49" s="40"/>
      <c r="H49" s="40"/>
      <c r="I49" s="68"/>
    </row>
    <row r="50" spans="1:9" ht="12.75" customHeight="1">
      <c r="A50" s="54">
        <v>24</v>
      </c>
      <c r="B50" s="48">
        <v>95</v>
      </c>
      <c r="C50" s="38" t="s">
        <v>664</v>
      </c>
      <c r="D50" s="188"/>
      <c r="E50" s="40" t="s">
        <v>663</v>
      </c>
      <c r="F50" s="56"/>
      <c r="G50" s="40"/>
      <c r="H50" s="40"/>
      <c r="I50" s="68"/>
    </row>
    <row r="51" spans="1:9" ht="12.75" customHeight="1">
      <c r="A51" s="54"/>
      <c r="B51" s="27"/>
      <c r="C51" s="38"/>
      <c r="D51" s="156"/>
      <c r="E51" s="38"/>
      <c r="F51" s="56"/>
      <c r="G51" s="190">
        <v>234</v>
      </c>
      <c r="H51" s="40" t="s">
        <v>399</v>
      </c>
      <c r="I51" s="68"/>
    </row>
    <row r="52" spans="1:8" ht="12.75" customHeight="1">
      <c r="A52" s="54">
        <v>25</v>
      </c>
      <c r="B52" s="48">
        <v>81</v>
      </c>
      <c r="C52" s="38" t="s">
        <v>480</v>
      </c>
      <c r="D52" s="156"/>
      <c r="E52" s="38"/>
      <c r="F52" s="56"/>
      <c r="G52" s="190"/>
      <c r="H52" s="40" t="s">
        <v>662</v>
      </c>
    </row>
    <row r="53" spans="1:8" ht="12.75" customHeight="1">
      <c r="A53" s="54"/>
      <c r="B53" s="27"/>
      <c r="C53" s="38"/>
      <c r="D53" s="188">
        <v>189</v>
      </c>
      <c r="E53" s="40" t="s">
        <v>399</v>
      </c>
      <c r="F53" s="56"/>
      <c r="G53" s="40"/>
      <c r="H53" s="40"/>
    </row>
    <row r="54" spans="1:8" ht="12.75" customHeight="1">
      <c r="A54" s="54">
        <v>26</v>
      </c>
      <c r="B54" s="48">
        <v>196</v>
      </c>
      <c r="C54" s="38" t="s">
        <v>661</v>
      </c>
      <c r="D54" s="188"/>
      <c r="E54" s="40" t="s">
        <v>660</v>
      </c>
      <c r="F54" s="56"/>
      <c r="G54" s="40"/>
      <c r="H54" s="40"/>
    </row>
    <row r="55" spans="1:8" ht="12.75" customHeight="1">
      <c r="A55" s="54"/>
      <c r="B55" s="27"/>
      <c r="C55" s="38"/>
      <c r="D55" s="156"/>
      <c r="E55" s="189">
        <v>215</v>
      </c>
      <c r="F55" s="40" t="s">
        <v>399</v>
      </c>
      <c r="G55" s="40"/>
      <c r="H55" s="40"/>
    </row>
    <row r="56" spans="1:8" ht="12.75" customHeight="1">
      <c r="A56" s="54">
        <v>27</v>
      </c>
      <c r="B56" s="48">
        <v>140</v>
      </c>
      <c r="C56" s="38" t="s">
        <v>659</v>
      </c>
      <c r="D56" s="156"/>
      <c r="E56" s="189"/>
      <c r="F56" s="40" t="s">
        <v>658</v>
      </c>
      <c r="G56" s="40"/>
      <c r="H56" s="40"/>
    </row>
    <row r="57" spans="1:8" ht="12.75" customHeight="1">
      <c r="A57" s="54"/>
      <c r="B57" s="27"/>
      <c r="C57" s="38"/>
      <c r="D57" s="188">
        <v>190</v>
      </c>
      <c r="E57" s="40" t="s">
        <v>402</v>
      </c>
      <c r="F57" s="56"/>
      <c r="G57" s="40"/>
      <c r="H57" s="40"/>
    </row>
    <row r="58" spans="1:8" ht="12.75" customHeight="1">
      <c r="A58" s="54">
        <v>28</v>
      </c>
      <c r="B58" s="48">
        <v>77</v>
      </c>
      <c r="C58" s="38" t="s">
        <v>657</v>
      </c>
      <c r="D58" s="188"/>
      <c r="E58" s="40" t="s">
        <v>656</v>
      </c>
      <c r="F58" s="56"/>
      <c r="G58" s="40"/>
      <c r="H58" s="40"/>
    </row>
    <row r="59" spans="1:8" ht="12.75" customHeight="1">
      <c r="A59" s="54"/>
      <c r="B59" s="27"/>
      <c r="C59" s="38"/>
      <c r="D59" s="156"/>
      <c r="E59" s="38"/>
      <c r="F59" s="190">
        <v>228</v>
      </c>
      <c r="G59" s="40" t="s">
        <v>399</v>
      </c>
      <c r="H59" s="40"/>
    </row>
    <row r="60" spans="1:8" ht="12.75" customHeight="1">
      <c r="A60" s="54">
        <v>29</v>
      </c>
      <c r="B60" s="48">
        <v>179</v>
      </c>
      <c r="C60" s="38" t="s">
        <v>655</v>
      </c>
      <c r="D60" s="156"/>
      <c r="E60" s="38"/>
      <c r="F60" s="190"/>
      <c r="G60" s="40" t="s">
        <v>654</v>
      </c>
      <c r="H60" s="40"/>
    </row>
    <row r="61" spans="1:8" ht="12.75" customHeight="1">
      <c r="A61" s="54"/>
      <c r="B61" s="27"/>
      <c r="C61" s="38"/>
      <c r="D61" s="188">
        <v>191</v>
      </c>
      <c r="E61" s="40" t="s">
        <v>391</v>
      </c>
      <c r="F61" s="56"/>
      <c r="G61" s="40"/>
      <c r="H61" s="40"/>
    </row>
    <row r="62" spans="1:8" ht="12.75" customHeight="1">
      <c r="A62" s="54">
        <v>30</v>
      </c>
      <c r="B62" s="48">
        <v>87</v>
      </c>
      <c r="C62" s="38" t="s">
        <v>653</v>
      </c>
      <c r="D62" s="188"/>
      <c r="E62" s="40" t="s">
        <v>652</v>
      </c>
      <c r="F62" s="56"/>
      <c r="G62" s="40"/>
      <c r="H62" s="40"/>
    </row>
    <row r="63" spans="1:8" ht="12.75" customHeight="1">
      <c r="A63" s="54"/>
      <c r="B63" s="27"/>
      <c r="C63" s="38"/>
      <c r="D63" s="156"/>
      <c r="E63" s="189">
        <v>216</v>
      </c>
      <c r="F63" s="40" t="s">
        <v>420</v>
      </c>
      <c r="G63" s="40"/>
      <c r="H63" s="40"/>
    </row>
    <row r="64" spans="1:8" ht="12.75" customHeight="1">
      <c r="A64" s="54">
        <v>31</v>
      </c>
      <c r="B64" s="48" t="s">
        <v>78</v>
      </c>
      <c r="C64" s="38" t="s">
        <v>79</v>
      </c>
      <c r="D64" s="156"/>
      <c r="E64" s="189"/>
      <c r="F64" s="40" t="s">
        <v>651</v>
      </c>
      <c r="G64" s="40"/>
      <c r="H64" s="40"/>
    </row>
    <row r="65" spans="1:8" ht="12.75" customHeight="1">
      <c r="A65" s="54"/>
      <c r="B65" s="27"/>
      <c r="C65" s="38"/>
      <c r="D65" s="188">
        <v>192</v>
      </c>
      <c r="E65" s="40" t="s">
        <v>420</v>
      </c>
      <c r="F65" s="56"/>
      <c r="G65" s="40"/>
      <c r="H65" s="40"/>
    </row>
    <row r="66" spans="1:8" ht="12.75" customHeight="1">
      <c r="A66" s="54">
        <v>32</v>
      </c>
      <c r="B66" s="48">
        <v>55</v>
      </c>
      <c r="C66" s="38" t="s">
        <v>650</v>
      </c>
      <c r="D66" s="188"/>
      <c r="E66" s="155" t="s">
        <v>78</v>
      </c>
      <c r="F66" s="56"/>
      <c r="G66" s="40"/>
      <c r="H66" s="40"/>
    </row>
    <row r="67" spans="1:8" ht="25.5">
      <c r="A67" s="257" t="s">
        <v>73</v>
      </c>
      <c r="B67" s="257"/>
      <c r="C67" s="257"/>
      <c r="D67" s="257"/>
      <c r="E67" s="257"/>
      <c r="F67" s="257"/>
      <c r="G67" s="257"/>
      <c r="H67" s="257"/>
    </row>
    <row r="68" spans="1:8" ht="17.25" customHeight="1">
      <c r="A68" s="244" t="s">
        <v>649</v>
      </c>
      <c r="B68" s="244"/>
      <c r="C68" s="244"/>
      <c r="D68" s="244"/>
      <c r="E68" s="244"/>
      <c r="F68" s="244"/>
      <c r="G68" s="244"/>
      <c r="H68" s="244"/>
    </row>
    <row r="69" spans="3:8" ht="15.75">
      <c r="C69" s="22"/>
      <c r="D69" s="24"/>
      <c r="H69" s="61" t="s">
        <v>75</v>
      </c>
    </row>
    <row r="70" spans="1:8" ht="15.75">
      <c r="A70" s="54">
        <v>33</v>
      </c>
      <c r="B70" s="66">
        <v>58</v>
      </c>
      <c r="C70" s="38" t="s">
        <v>648</v>
      </c>
      <c r="D70" s="27"/>
      <c r="E70" s="27"/>
      <c r="F70" s="27"/>
      <c r="G70" s="157"/>
      <c r="H70" s="158" t="s">
        <v>7</v>
      </c>
    </row>
    <row r="71" spans="1:7" ht="13.5">
      <c r="A71" s="54"/>
      <c r="C71" s="22"/>
      <c r="D71" s="188">
        <v>193</v>
      </c>
      <c r="E71" s="54" t="s">
        <v>417</v>
      </c>
      <c r="F71" s="27"/>
      <c r="G71" s="157"/>
    </row>
    <row r="72" spans="1:7" ht="12.75">
      <c r="A72" s="54">
        <v>34</v>
      </c>
      <c r="B72" s="66" t="s">
        <v>78</v>
      </c>
      <c r="C72" s="27" t="s">
        <v>79</v>
      </c>
      <c r="D72" s="188"/>
      <c r="E72" s="54" t="s">
        <v>78</v>
      </c>
      <c r="F72" s="27"/>
      <c r="G72" s="27"/>
    </row>
    <row r="73" spans="1:7" ht="12.75">
      <c r="A73" s="54"/>
      <c r="C73" s="22"/>
      <c r="D73" s="49"/>
      <c r="E73" s="189">
        <v>217</v>
      </c>
      <c r="F73" s="54" t="s">
        <v>417</v>
      </c>
      <c r="G73" s="27"/>
    </row>
    <row r="74" spans="1:7" ht="12.75">
      <c r="A74" s="54">
        <v>35</v>
      </c>
      <c r="B74" s="66">
        <v>189</v>
      </c>
      <c r="C74" s="27" t="s">
        <v>647</v>
      </c>
      <c r="D74" s="49"/>
      <c r="E74" s="189"/>
      <c r="F74" s="54" t="s">
        <v>646</v>
      </c>
      <c r="G74" s="38"/>
    </row>
    <row r="75" spans="1:7" ht="12.75">
      <c r="A75" s="54"/>
      <c r="C75" s="22"/>
      <c r="D75" s="188">
        <v>194</v>
      </c>
      <c r="E75" s="54" t="s">
        <v>376</v>
      </c>
      <c r="F75" s="54"/>
      <c r="G75" s="38"/>
    </row>
    <row r="76" spans="1:7" ht="12.75">
      <c r="A76" s="54">
        <v>36</v>
      </c>
      <c r="B76" s="66">
        <v>112</v>
      </c>
      <c r="C76" s="27" t="s">
        <v>645</v>
      </c>
      <c r="D76" s="188"/>
      <c r="E76" s="54" t="s">
        <v>644</v>
      </c>
      <c r="F76" s="54"/>
      <c r="G76" s="38"/>
    </row>
    <row r="77" spans="1:7" ht="12.75">
      <c r="A77" s="54"/>
      <c r="C77" s="22"/>
      <c r="D77" s="49"/>
      <c r="E77" s="44"/>
      <c r="F77" s="189">
        <v>229</v>
      </c>
      <c r="G77" s="54" t="s">
        <v>417</v>
      </c>
    </row>
    <row r="78" spans="1:8" ht="12.75">
      <c r="A78" s="54">
        <v>37</v>
      </c>
      <c r="B78" s="66">
        <v>129</v>
      </c>
      <c r="C78" s="27" t="s">
        <v>643</v>
      </c>
      <c r="D78" s="49"/>
      <c r="E78" s="44"/>
      <c r="F78" s="189"/>
      <c r="G78" s="54" t="s">
        <v>642</v>
      </c>
      <c r="H78" s="46"/>
    </row>
    <row r="79" spans="1:8" ht="12.75">
      <c r="A79" s="54"/>
      <c r="C79" s="22"/>
      <c r="D79" s="188">
        <v>195</v>
      </c>
      <c r="E79" s="54" t="s">
        <v>367</v>
      </c>
      <c r="F79" s="54"/>
      <c r="G79" s="40"/>
      <c r="H79" s="46"/>
    </row>
    <row r="80" spans="1:8" ht="12.75">
      <c r="A80" s="54">
        <v>38</v>
      </c>
      <c r="B80" s="66">
        <v>182</v>
      </c>
      <c r="C80" s="27" t="s">
        <v>641</v>
      </c>
      <c r="D80" s="188"/>
      <c r="E80" s="54" t="s">
        <v>640</v>
      </c>
      <c r="F80" s="54"/>
      <c r="G80" s="40"/>
      <c r="H80" s="46"/>
    </row>
    <row r="81" spans="1:8" ht="12.75">
      <c r="A81" s="54"/>
      <c r="C81" s="22"/>
      <c r="D81" s="49"/>
      <c r="E81" s="189">
        <v>218</v>
      </c>
      <c r="F81" s="54" t="s">
        <v>403</v>
      </c>
      <c r="G81" s="40"/>
      <c r="H81" s="46"/>
    </row>
    <row r="82" spans="1:8" ht="12.75">
      <c r="A82" s="54">
        <v>39</v>
      </c>
      <c r="B82" s="66">
        <v>178</v>
      </c>
      <c r="C82" s="27" t="s">
        <v>639</v>
      </c>
      <c r="D82" s="49"/>
      <c r="E82" s="189"/>
      <c r="F82" s="54" t="s">
        <v>638</v>
      </c>
      <c r="G82" s="27"/>
      <c r="H82" s="46"/>
    </row>
    <row r="83" spans="1:8" ht="12.75">
      <c r="A83" s="54"/>
      <c r="C83" s="22"/>
      <c r="D83" s="188">
        <v>196</v>
      </c>
      <c r="E83" s="54" t="s">
        <v>403</v>
      </c>
      <c r="F83" s="68"/>
      <c r="G83" s="27"/>
      <c r="H83" s="38"/>
    </row>
    <row r="84" spans="1:8" ht="12.75">
      <c r="A84" s="54">
        <v>40</v>
      </c>
      <c r="B84" s="66">
        <v>76</v>
      </c>
      <c r="C84" s="27" t="s">
        <v>637</v>
      </c>
      <c r="D84" s="188"/>
      <c r="E84" s="54" t="s">
        <v>636</v>
      </c>
      <c r="F84" s="54"/>
      <c r="G84" s="27"/>
      <c r="H84" s="38"/>
    </row>
    <row r="85" spans="1:8" ht="12.75">
      <c r="A85" s="54"/>
      <c r="C85" s="22"/>
      <c r="D85" s="49"/>
      <c r="E85" s="68"/>
      <c r="F85" s="54"/>
      <c r="G85" s="189">
        <v>235</v>
      </c>
      <c r="H85" s="40" t="s">
        <v>417</v>
      </c>
    </row>
    <row r="86" spans="1:8" ht="12.75">
      <c r="A86" s="54">
        <v>41</v>
      </c>
      <c r="B86" s="66">
        <v>86</v>
      </c>
      <c r="C86" s="27" t="s">
        <v>635</v>
      </c>
      <c r="D86" s="49"/>
      <c r="E86" s="44"/>
      <c r="F86" s="68"/>
      <c r="G86" s="189"/>
      <c r="H86" s="40" t="s">
        <v>634</v>
      </c>
    </row>
    <row r="87" spans="1:8" ht="12.75">
      <c r="A87" s="54"/>
      <c r="C87" s="27"/>
      <c r="D87" s="188">
        <v>197</v>
      </c>
      <c r="E87" s="54" t="s">
        <v>374</v>
      </c>
      <c r="F87" s="27"/>
      <c r="G87" s="40"/>
      <c r="H87" s="38"/>
    </row>
    <row r="88" spans="1:8" ht="12.75">
      <c r="A88" s="54">
        <v>42</v>
      </c>
      <c r="B88" s="66">
        <v>114</v>
      </c>
      <c r="C88" s="27" t="s">
        <v>633</v>
      </c>
      <c r="D88" s="188"/>
      <c r="E88" s="54" t="s">
        <v>632</v>
      </c>
      <c r="F88" s="27"/>
      <c r="G88" s="40"/>
      <c r="H88" s="38"/>
    </row>
    <row r="89" spans="1:8" ht="12.75">
      <c r="A89" s="54"/>
      <c r="C89" s="27"/>
      <c r="D89" s="51"/>
      <c r="E89" s="189">
        <v>219</v>
      </c>
      <c r="F89" s="54" t="s">
        <v>374</v>
      </c>
      <c r="G89" s="40"/>
      <c r="H89" s="46"/>
    </row>
    <row r="90" spans="1:8" ht="12.75">
      <c r="A90" s="54">
        <v>43</v>
      </c>
      <c r="B90" s="66">
        <v>131</v>
      </c>
      <c r="C90" s="27" t="s">
        <v>491</v>
      </c>
      <c r="D90" s="51"/>
      <c r="E90" s="189"/>
      <c r="F90" s="54" t="s">
        <v>631</v>
      </c>
      <c r="G90" s="27"/>
      <c r="H90" s="46"/>
    </row>
    <row r="91" spans="1:8" ht="12.75">
      <c r="A91" s="54"/>
      <c r="C91" s="27"/>
      <c r="D91" s="188">
        <v>198</v>
      </c>
      <c r="E91" s="54" t="s">
        <v>351</v>
      </c>
      <c r="F91" s="27"/>
      <c r="G91" s="27"/>
      <c r="H91" s="46"/>
    </row>
    <row r="92" spans="1:8" ht="12.75">
      <c r="A92" s="54">
        <v>44</v>
      </c>
      <c r="B92" s="66">
        <v>181</v>
      </c>
      <c r="C92" s="27" t="s">
        <v>630</v>
      </c>
      <c r="D92" s="188"/>
      <c r="E92" s="54" t="s">
        <v>629</v>
      </c>
      <c r="F92" s="27"/>
      <c r="G92" s="27"/>
      <c r="H92" s="46"/>
    </row>
    <row r="93" spans="1:8" ht="12.75">
      <c r="A93" s="54"/>
      <c r="C93" s="27"/>
      <c r="D93" s="51"/>
      <c r="E93" s="54"/>
      <c r="F93" s="190">
        <v>230</v>
      </c>
      <c r="G93" s="54" t="s">
        <v>369</v>
      </c>
      <c r="H93" s="46"/>
    </row>
    <row r="94" spans="1:8" ht="12.75">
      <c r="A94" s="54">
        <v>45</v>
      </c>
      <c r="B94" s="66">
        <v>128</v>
      </c>
      <c r="C94" s="27" t="s">
        <v>628</v>
      </c>
      <c r="D94" s="49"/>
      <c r="E94" s="27"/>
      <c r="F94" s="190"/>
      <c r="G94" s="54" t="s">
        <v>627</v>
      </c>
      <c r="H94" s="46"/>
    </row>
    <row r="95" spans="1:8" ht="12.75">
      <c r="A95" s="54"/>
      <c r="C95" s="68"/>
      <c r="D95" s="188">
        <v>199</v>
      </c>
      <c r="E95" s="54" t="s">
        <v>369</v>
      </c>
      <c r="F95" s="44"/>
      <c r="G95" s="27"/>
      <c r="H95" s="46"/>
    </row>
    <row r="96" spans="1:8" ht="12.75">
      <c r="A96" s="54">
        <v>46</v>
      </c>
      <c r="B96" s="66">
        <v>103</v>
      </c>
      <c r="C96" s="27" t="s">
        <v>626</v>
      </c>
      <c r="D96" s="188"/>
      <c r="E96" s="54" t="s">
        <v>625</v>
      </c>
      <c r="F96" s="44"/>
      <c r="G96" s="27"/>
      <c r="H96" s="46"/>
    </row>
    <row r="97" spans="1:8" ht="12.75">
      <c r="A97" s="54"/>
      <c r="C97" s="27"/>
      <c r="D97" s="49"/>
      <c r="E97" s="189">
        <v>220</v>
      </c>
      <c r="F97" s="54" t="s">
        <v>369</v>
      </c>
      <c r="G97" s="27"/>
      <c r="H97" s="46"/>
    </row>
    <row r="98" spans="1:8" ht="12.75">
      <c r="A98" s="54">
        <v>47</v>
      </c>
      <c r="B98" s="66" t="s">
        <v>78</v>
      </c>
      <c r="C98" s="27" t="s">
        <v>79</v>
      </c>
      <c r="D98" s="49"/>
      <c r="E98" s="189"/>
      <c r="F98" s="54" t="s">
        <v>624</v>
      </c>
      <c r="G98" s="27"/>
      <c r="H98" s="46"/>
    </row>
    <row r="99" spans="1:8" ht="12.75">
      <c r="A99" s="54"/>
      <c r="C99" s="27"/>
      <c r="D99" s="188">
        <v>200</v>
      </c>
      <c r="E99" s="54" t="s">
        <v>416</v>
      </c>
      <c r="F99" s="44"/>
      <c r="G99" s="27"/>
      <c r="H99" s="46"/>
    </row>
    <row r="100" spans="1:8" ht="12.75">
      <c r="A100" s="54">
        <v>48</v>
      </c>
      <c r="B100" s="66">
        <v>59</v>
      </c>
      <c r="C100" s="38" t="s">
        <v>623</v>
      </c>
      <c r="D100" s="188"/>
      <c r="E100" s="54" t="s">
        <v>78</v>
      </c>
      <c r="F100" s="44"/>
      <c r="G100" s="27"/>
      <c r="H100" s="46"/>
    </row>
    <row r="101" spans="1:8" ht="12.75">
      <c r="A101" s="54"/>
      <c r="B101" s="27"/>
      <c r="D101" s="68"/>
      <c r="E101" s="68"/>
      <c r="F101" s="44"/>
      <c r="G101" s="258">
        <v>238</v>
      </c>
      <c r="H101" s="48" t="s">
        <v>382</v>
      </c>
    </row>
    <row r="102" spans="1:8" ht="12.75">
      <c r="A102" s="54">
        <v>49</v>
      </c>
      <c r="B102" s="66">
        <v>60</v>
      </c>
      <c r="C102" s="38" t="s">
        <v>622</v>
      </c>
      <c r="D102" s="49"/>
      <c r="E102" s="68"/>
      <c r="F102" s="68"/>
      <c r="G102" s="258"/>
      <c r="H102" s="159" t="s">
        <v>621</v>
      </c>
    </row>
    <row r="103" spans="1:8" ht="12.75">
      <c r="A103" s="54"/>
      <c r="B103" s="27"/>
      <c r="C103" s="68"/>
      <c r="D103" s="188">
        <v>201</v>
      </c>
      <c r="E103" s="54" t="s">
        <v>382</v>
      </c>
      <c r="F103" s="68"/>
      <c r="G103" s="40"/>
      <c r="H103" s="46"/>
    </row>
    <row r="104" spans="1:8" ht="12.75">
      <c r="A104" s="54">
        <v>50</v>
      </c>
      <c r="B104" s="66">
        <v>97</v>
      </c>
      <c r="C104" s="27" t="s">
        <v>620</v>
      </c>
      <c r="D104" s="188"/>
      <c r="E104" s="54" t="s">
        <v>619</v>
      </c>
      <c r="F104" s="44"/>
      <c r="G104" s="40"/>
      <c r="H104" s="46"/>
    </row>
    <row r="105" spans="1:8" ht="12.75">
      <c r="A105" s="54"/>
      <c r="B105" s="27"/>
      <c r="D105" s="68"/>
      <c r="E105" s="189">
        <v>221</v>
      </c>
      <c r="F105" s="54" t="s">
        <v>382</v>
      </c>
      <c r="G105" s="40"/>
      <c r="H105" s="46"/>
    </row>
    <row r="106" spans="1:8" ht="12.75">
      <c r="A106" s="54">
        <v>51</v>
      </c>
      <c r="B106" s="66">
        <v>173</v>
      </c>
      <c r="C106" s="27" t="s">
        <v>476</v>
      </c>
      <c r="D106" s="51"/>
      <c r="E106" s="189"/>
      <c r="F106" s="54" t="s">
        <v>618</v>
      </c>
      <c r="G106" s="40"/>
      <c r="H106" s="46"/>
    </row>
    <row r="107" spans="1:8" ht="12.75">
      <c r="A107" s="54"/>
      <c r="B107" s="27"/>
      <c r="C107" s="27"/>
      <c r="D107" s="188">
        <v>202</v>
      </c>
      <c r="E107" s="54" t="s">
        <v>342</v>
      </c>
      <c r="F107" s="44"/>
      <c r="G107" s="40"/>
      <c r="H107" s="46"/>
    </row>
    <row r="108" spans="1:8" ht="12.75">
      <c r="A108" s="54">
        <v>52</v>
      </c>
      <c r="B108" s="66">
        <v>191</v>
      </c>
      <c r="C108" s="27" t="s">
        <v>617</v>
      </c>
      <c r="D108" s="188"/>
      <c r="E108" s="54" t="s">
        <v>616</v>
      </c>
      <c r="F108" s="44"/>
      <c r="G108" s="40"/>
      <c r="H108" s="46"/>
    </row>
    <row r="109" spans="1:8" ht="12.75">
      <c r="A109" s="54"/>
      <c r="B109" s="27"/>
      <c r="C109" s="27"/>
      <c r="D109" s="51"/>
      <c r="E109" s="27"/>
      <c r="F109" s="190">
        <v>231</v>
      </c>
      <c r="G109" s="54" t="s">
        <v>382</v>
      </c>
      <c r="H109" s="46"/>
    </row>
    <row r="110" spans="1:8" ht="12.75">
      <c r="A110" s="54">
        <v>53</v>
      </c>
      <c r="B110" s="66">
        <v>75</v>
      </c>
      <c r="C110" s="27" t="s">
        <v>615</v>
      </c>
      <c r="D110" s="51"/>
      <c r="E110" s="27"/>
      <c r="F110" s="190"/>
      <c r="G110" s="54" t="s">
        <v>614</v>
      </c>
      <c r="H110" s="46"/>
    </row>
    <row r="111" spans="1:8" ht="12.75">
      <c r="A111" s="54"/>
      <c r="B111" s="27"/>
      <c r="C111" s="27"/>
      <c r="D111" s="188">
        <v>203</v>
      </c>
      <c r="E111" s="54" t="s">
        <v>372</v>
      </c>
      <c r="F111" s="44"/>
      <c r="G111" s="40"/>
      <c r="H111" s="46"/>
    </row>
    <row r="112" spans="1:8" ht="12.75">
      <c r="A112" s="54">
        <v>54</v>
      </c>
      <c r="B112" s="66">
        <v>116</v>
      </c>
      <c r="C112" s="27" t="s">
        <v>613</v>
      </c>
      <c r="D112" s="188"/>
      <c r="E112" s="54" t="s">
        <v>612</v>
      </c>
      <c r="F112" s="44"/>
      <c r="G112" s="40"/>
      <c r="H112" s="46"/>
    </row>
    <row r="113" spans="1:8" ht="12.75">
      <c r="A113" s="54"/>
      <c r="B113" s="27"/>
      <c r="C113" s="27"/>
      <c r="D113" s="51"/>
      <c r="E113" s="189">
        <v>222</v>
      </c>
      <c r="F113" s="54" t="s">
        <v>359</v>
      </c>
      <c r="G113" s="40"/>
      <c r="H113" s="46"/>
    </row>
    <row r="114" spans="1:8" ht="12.75">
      <c r="A114" s="54">
        <v>55</v>
      </c>
      <c r="B114" s="66">
        <v>193</v>
      </c>
      <c r="C114" s="27" t="s">
        <v>611</v>
      </c>
      <c r="D114" s="51"/>
      <c r="E114" s="189"/>
      <c r="F114" s="54" t="s">
        <v>610</v>
      </c>
      <c r="G114" s="40"/>
      <c r="H114" s="46"/>
    </row>
    <row r="115" spans="1:8" ht="12.75">
      <c r="A115" s="54"/>
      <c r="B115" s="27"/>
      <c r="C115" s="27"/>
      <c r="D115" s="188">
        <v>204</v>
      </c>
      <c r="E115" s="54" t="s">
        <v>359</v>
      </c>
      <c r="F115" s="44"/>
      <c r="G115" s="40"/>
      <c r="H115" s="38"/>
    </row>
    <row r="116" spans="1:8" ht="12.75">
      <c r="A116" s="54">
        <v>56</v>
      </c>
      <c r="B116" s="66">
        <v>143</v>
      </c>
      <c r="C116" s="27" t="s">
        <v>478</v>
      </c>
      <c r="D116" s="188"/>
      <c r="E116" s="54" t="s">
        <v>609</v>
      </c>
      <c r="F116" s="44"/>
      <c r="G116" s="40"/>
      <c r="H116" s="38"/>
    </row>
    <row r="117" spans="1:8" ht="12.75">
      <c r="A117" s="54"/>
      <c r="B117" s="27"/>
      <c r="C117" s="27"/>
      <c r="D117" s="51"/>
      <c r="E117" s="27"/>
      <c r="F117" s="44"/>
      <c r="G117" s="189">
        <v>236</v>
      </c>
      <c r="H117" s="40" t="s">
        <v>382</v>
      </c>
    </row>
    <row r="118" spans="1:8" ht="12.75">
      <c r="A118" s="54">
        <v>57</v>
      </c>
      <c r="B118" s="66">
        <v>142</v>
      </c>
      <c r="C118" s="27" t="s">
        <v>608</v>
      </c>
      <c r="D118" s="51"/>
      <c r="E118" s="27"/>
      <c r="F118" s="44"/>
      <c r="G118" s="189"/>
      <c r="H118" s="40" t="s">
        <v>607</v>
      </c>
    </row>
    <row r="119" spans="1:8" ht="12.75">
      <c r="A119" s="54"/>
      <c r="B119" s="27"/>
      <c r="C119" s="27"/>
      <c r="D119" s="188">
        <v>205</v>
      </c>
      <c r="E119" s="54" t="s">
        <v>360</v>
      </c>
      <c r="F119" s="44"/>
      <c r="G119" s="40"/>
      <c r="H119" s="38"/>
    </row>
    <row r="120" spans="1:8" ht="12.75">
      <c r="A120" s="54">
        <v>58</v>
      </c>
      <c r="B120" s="66">
        <v>93</v>
      </c>
      <c r="C120" s="27" t="s">
        <v>606</v>
      </c>
      <c r="D120" s="188"/>
      <c r="E120" s="54" t="s">
        <v>605</v>
      </c>
      <c r="F120" s="44"/>
      <c r="G120" s="40"/>
      <c r="H120" s="46"/>
    </row>
    <row r="121" spans="1:8" ht="12.75">
      <c r="A121" s="54"/>
      <c r="B121" s="27"/>
      <c r="C121" s="27"/>
      <c r="D121" s="51"/>
      <c r="E121" s="189">
        <v>223</v>
      </c>
      <c r="F121" s="54" t="s">
        <v>395</v>
      </c>
      <c r="G121" s="40"/>
      <c r="H121" s="46"/>
    </row>
    <row r="122" spans="1:8" ht="12.75">
      <c r="A122" s="54">
        <v>59</v>
      </c>
      <c r="B122" s="66">
        <v>83</v>
      </c>
      <c r="C122" s="27" t="s">
        <v>604</v>
      </c>
      <c r="D122" s="51"/>
      <c r="E122" s="189"/>
      <c r="F122" s="54" t="s">
        <v>603</v>
      </c>
      <c r="G122" s="40"/>
      <c r="H122" s="46"/>
    </row>
    <row r="123" spans="1:8" ht="12.75">
      <c r="A123" s="54"/>
      <c r="B123" s="27"/>
      <c r="C123" s="27"/>
      <c r="D123" s="188">
        <v>206</v>
      </c>
      <c r="E123" s="54" t="s">
        <v>395</v>
      </c>
      <c r="F123" s="44"/>
      <c r="G123" s="40"/>
      <c r="H123" s="46"/>
    </row>
    <row r="124" spans="1:8" ht="12.75">
      <c r="A124" s="54">
        <v>60</v>
      </c>
      <c r="B124" s="66">
        <v>85</v>
      </c>
      <c r="C124" s="27" t="s">
        <v>602</v>
      </c>
      <c r="D124" s="188"/>
      <c r="E124" s="54" t="s">
        <v>601</v>
      </c>
      <c r="F124" s="44"/>
      <c r="G124" s="40"/>
      <c r="H124" s="46"/>
    </row>
    <row r="125" spans="1:8" ht="12.75">
      <c r="A125" s="54"/>
      <c r="B125" s="27"/>
      <c r="C125" s="27"/>
      <c r="D125" s="51"/>
      <c r="E125" s="27"/>
      <c r="F125" s="190">
        <v>232</v>
      </c>
      <c r="G125" s="54" t="s">
        <v>395</v>
      </c>
      <c r="H125" s="46"/>
    </row>
    <row r="126" spans="1:8" ht="12.75">
      <c r="A126" s="54">
        <v>61</v>
      </c>
      <c r="B126" s="66">
        <v>187</v>
      </c>
      <c r="C126" s="27" t="s">
        <v>600</v>
      </c>
      <c r="D126" s="51"/>
      <c r="E126" s="27"/>
      <c r="F126" s="190"/>
      <c r="G126" s="54" t="s">
        <v>599</v>
      </c>
      <c r="H126" s="46"/>
    </row>
    <row r="127" spans="1:8" ht="12.75">
      <c r="A127" s="54"/>
      <c r="B127" s="27"/>
      <c r="C127" s="27"/>
      <c r="D127" s="188">
        <v>207</v>
      </c>
      <c r="E127" s="54" t="s">
        <v>343</v>
      </c>
      <c r="F127" s="44"/>
      <c r="G127" s="40"/>
      <c r="H127" s="46"/>
    </row>
    <row r="128" spans="1:8" ht="12.75">
      <c r="A128" s="54">
        <v>62</v>
      </c>
      <c r="B128" s="66">
        <v>190</v>
      </c>
      <c r="C128" s="27" t="s">
        <v>598</v>
      </c>
      <c r="D128" s="188"/>
      <c r="E128" s="54" t="s">
        <v>597</v>
      </c>
      <c r="F128" s="44"/>
      <c r="G128" s="40"/>
      <c r="H128" s="46"/>
    </row>
    <row r="129" spans="1:8" ht="12.75">
      <c r="A129" s="54"/>
      <c r="B129" s="27"/>
      <c r="C129" s="27"/>
      <c r="D129" s="51"/>
      <c r="E129" s="189">
        <v>224</v>
      </c>
      <c r="F129" s="54" t="s">
        <v>343</v>
      </c>
      <c r="G129" s="40"/>
      <c r="H129" s="46"/>
    </row>
    <row r="130" spans="1:8" ht="12.75">
      <c r="A130" s="54">
        <v>63</v>
      </c>
      <c r="B130" s="66" t="s">
        <v>78</v>
      </c>
      <c r="C130" s="27" t="s">
        <v>79</v>
      </c>
      <c r="D130" s="51"/>
      <c r="E130" s="189"/>
      <c r="F130" s="54" t="s">
        <v>596</v>
      </c>
      <c r="G130" s="40"/>
      <c r="H130" s="46"/>
    </row>
    <row r="131" spans="1:8" ht="12.75">
      <c r="A131" s="54"/>
      <c r="B131" s="27"/>
      <c r="C131" s="27"/>
      <c r="D131" s="188">
        <v>208</v>
      </c>
      <c r="E131" s="54" t="s">
        <v>422</v>
      </c>
      <c r="F131" s="44"/>
      <c r="G131" s="40"/>
      <c r="H131" s="46"/>
    </row>
    <row r="132" spans="1:7" ht="12.75">
      <c r="A132" s="54">
        <v>64</v>
      </c>
      <c r="B132" s="66">
        <v>51</v>
      </c>
      <c r="C132" s="38" t="s">
        <v>595</v>
      </c>
      <c r="D132" s="188"/>
      <c r="E132" s="54" t="s">
        <v>78</v>
      </c>
      <c r="F132" s="44"/>
      <c r="G132" s="40"/>
    </row>
    <row r="133" spans="1:8" ht="25.5">
      <c r="A133" s="257" t="s">
        <v>73</v>
      </c>
      <c r="B133" s="257"/>
      <c r="C133" s="257"/>
      <c r="D133" s="257"/>
      <c r="E133" s="257"/>
      <c r="F133" s="257"/>
      <c r="G133" s="257"/>
      <c r="H133" s="257"/>
    </row>
    <row r="134" spans="1:8" ht="18.75">
      <c r="A134" s="244" t="s">
        <v>594</v>
      </c>
      <c r="B134" s="244"/>
      <c r="C134" s="244"/>
      <c r="D134" s="244"/>
      <c r="E134" s="244"/>
      <c r="F134" s="244"/>
      <c r="G134" s="244"/>
      <c r="H134" s="244"/>
    </row>
    <row r="135" ht="15.75">
      <c r="H135" s="61" t="s">
        <v>75</v>
      </c>
    </row>
    <row r="136" spans="1:8" ht="12.75" customHeight="1">
      <c r="A136" s="54" t="s">
        <v>78</v>
      </c>
      <c r="B136" s="66" t="s">
        <v>78</v>
      </c>
      <c r="C136" s="38" t="s">
        <v>78</v>
      </c>
      <c r="D136" s="27"/>
      <c r="E136" s="27"/>
      <c r="F136" s="27"/>
      <c r="G136" s="157"/>
      <c r="H136" s="158" t="s">
        <v>593</v>
      </c>
    </row>
    <row r="137" spans="1:8" ht="12.75" customHeight="1">
      <c r="A137" s="54"/>
      <c r="C137" s="27"/>
      <c r="D137" s="188" t="s">
        <v>78</v>
      </c>
      <c r="E137" s="54" t="s">
        <v>78</v>
      </c>
      <c r="F137" s="27"/>
      <c r="G137" s="157"/>
      <c r="H137" s="151"/>
    </row>
    <row r="138" spans="1:8" ht="12.75" customHeight="1">
      <c r="A138" s="54" t="s">
        <v>78</v>
      </c>
      <c r="B138" s="66" t="s">
        <v>78</v>
      </c>
      <c r="C138" s="27" t="s">
        <v>78</v>
      </c>
      <c r="D138" s="188"/>
      <c r="E138" s="54" t="s">
        <v>78</v>
      </c>
      <c r="F138" s="27"/>
      <c r="G138" s="27"/>
      <c r="H138" s="34"/>
    </row>
    <row r="139" spans="1:8" ht="12.75" customHeight="1">
      <c r="A139" s="54"/>
      <c r="C139" s="27"/>
      <c r="D139" s="49"/>
      <c r="E139" s="189" t="s">
        <v>78</v>
      </c>
      <c r="F139" s="54" t="s">
        <v>78</v>
      </c>
      <c r="G139" s="27"/>
      <c r="H139" s="34"/>
    </row>
    <row r="140" spans="1:8" ht="12.75" customHeight="1">
      <c r="A140" s="54" t="s">
        <v>78</v>
      </c>
      <c r="B140" s="66" t="s">
        <v>78</v>
      </c>
      <c r="C140" s="27" t="s">
        <v>78</v>
      </c>
      <c r="D140" s="49"/>
      <c r="E140" s="189"/>
      <c r="F140" s="54" t="s">
        <v>78</v>
      </c>
      <c r="G140" s="38"/>
      <c r="H140" s="34"/>
    </row>
    <row r="141" spans="1:8" ht="12.75" customHeight="1">
      <c r="A141" s="54"/>
      <c r="C141" s="27"/>
      <c r="D141" s="188" t="s">
        <v>78</v>
      </c>
      <c r="E141" s="54" t="s">
        <v>78</v>
      </c>
      <c r="F141" s="54"/>
      <c r="G141" s="38"/>
      <c r="H141" s="34"/>
    </row>
    <row r="142" spans="1:15" ht="12.75" customHeight="1">
      <c r="A142" s="54" t="s">
        <v>78</v>
      </c>
      <c r="B142" s="66" t="s">
        <v>78</v>
      </c>
      <c r="C142" s="27" t="s">
        <v>78</v>
      </c>
      <c r="D142" s="188"/>
      <c r="E142" s="54" t="s">
        <v>78</v>
      </c>
      <c r="F142" s="54"/>
      <c r="G142" s="38"/>
      <c r="H142" s="34"/>
      <c r="K142" s="252"/>
      <c r="L142" s="160"/>
      <c r="M142" s="27"/>
      <c r="N142" s="68"/>
      <c r="O142" s="68"/>
    </row>
    <row r="143" spans="1:15" ht="12.75" customHeight="1">
      <c r="A143" s="54"/>
      <c r="C143" s="27"/>
      <c r="D143" s="49"/>
      <c r="E143" s="44"/>
      <c r="F143" s="189" t="s">
        <v>78</v>
      </c>
      <c r="G143" s="54" t="s">
        <v>78</v>
      </c>
      <c r="H143" s="38"/>
      <c r="K143" s="252"/>
      <c r="L143" s="161"/>
      <c r="M143" s="27"/>
      <c r="N143" s="68"/>
      <c r="O143" s="68"/>
    </row>
    <row r="144" spans="1:15" ht="12.75" customHeight="1">
      <c r="A144" s="54" t="s">
        <v>78</v>
      </c>
      <c r="B144" s="66" t="s">
        <v>78</v>
      </c>
      <c r="C144" s="27" t="s">
        <v>78</v>
      </c>
      <c r="D144" s="49"/>
      <c r="E144" s="44"/>
      <c r="F144" s="189"/>
      <c r="G144" s="54" t="s">
        <v>78</v>
      </c>
      <c r="H144" s="38"/>
      <c r="K144" s="161"/>
      <c r="L144" s="161"/>
      <c r="M144" s="256"/>
      <c r="N144" s="254"/>
      <c r="O144" s="254"/>
    </row>
    <row r="145" spans="1:15" ht="12.75" customHeight="1">
      <c r="A145" s="54"/>
      <c r="C145" s="27"/>
      <c r="D145" s="188" t="s">
        <v>78</v>
      </c>
      <c r="E145" s="54" t="s">
        <v>78</v>
      </c>
      <c r="F145" s="54"/>
      <c r="G145" s="40"/>
      <c r="H145" s="38"/>
      <c r="K145" s="161"/>
      <c r="L145" s="161"/>
      <c r="M145" s="256"/>
      <c r="N145" s="255"/>
      <c r="O145" s="255"/>
    </row>
    <row r="146" spans="1:15" ht="12.75" customHeight="1">
      <c r="A146" s="54" t="s">
        <v>78</v>
      </c>
      <c r="B146" s="66" t="s">
        <v>78</v>
      </c>
      <c r="C146" s="27" t="s">
        <v>78</v>
      </c>
      <c r="D146" s="188"/>
      <c r="E146" s="54" t="s">
        <v>78</v>
      </c>
      <c r="F146" s="54"/>
      <c r="G146" s="40"/>
      <c r="H146" s="38"/>
      <c r="K146" s="252"/>
      <c r="L146" s="160"/>
      <c r="M146" s="27"/>
      <c r="N146" s="162"/>
      <c r="O146" s="162"/>
    </row>
    <row r="147" spans="1:15" ht="14.25" customHeight="1">
      <c r="A147" s="146">
        <v>237</v>
      </c>
      <c r="B147" s="48"/>
      <c r="C147" s="138" t="s">
        <v>399</v>
      </c>
      <c r="D147" s="163"/>
      <c r="E147" s="190" t="s">
        <v>78</v>
      </c>
      <c r="F147" s="40" t="s">
        <v>78</v>
      </c>
      <c r="G147" s="40"/>
      <c r="H147" s="38"/>
      <c r="K147" s="252"/>
      <c r="L147" s="161"/>
      <c r="M147" s="27"/>
      <c r="N147" s="162"/>
      <c r="O147" s="162"/>
    </row>
    <row r="148" spans="1:8" ht="12.75" customHeight="1">
      <c r="A148" s="40" t="s">
        <v>78</v>
      </c>
      <c r="B148" s="48" t="s">
        <v>78</v>
      </c>
      <c r="C148" s="38" t="s">
        <v>78</v>
      </c>
      <c r="D148" s="163"/>
      <c r="E148" s="190"/>
      <c r="F148" s="40" t="s">
        <v>78</v>
      </c>
      <c r="G148" s="27"/>
      <c r="H148" s="38"/>
    </row>
    <row r="149" spans="1:8" ht="12.75" customHeight="1">
      <c r="A149" s="164">
        <v>1</v>
      </c>
      <c r="B149" s="48" t="s">
        <v>52</v>
      </c>
      <c r="C149" s="38"/>
      <c r="D149" s="188" t="s">
        <v>78</v>
      </c>
      <c r="E149" s="40" t="s">
        <v>78</v>
      </c>
      <c r="F149" s="46"/>
      <c r="G149" s="27"/>
      <c r="H149" s="38"/>
    </row>
    <row r="150" spans="1:8" ht="12.75" customHeight="1">
      <c r="A150" s="40" t="s">
        <v>78</v>
      </c>
      <c r="B150" s="48" t="s">
        <v>78</v>
      </c>
      <c r="C150" s="38" t="s">
        <v>78</v>
      </c>
      <c r="D150" s="188"/>
      <c r="E150" s="40" t="s">
        <v>78</v>
      </c>
      <c r="F150" s="40"/>
      <c r="G150" s="27"/>
      <c r="H150" s="38"/>
    </row>
    <row r="151" spans="1:8" ht="15.75" customHeight="1">
      <c r="A151" s="40"/>
      <c r="B151" s="48"/>
      <c r="C151" s="38"/>
      <c r="D151" s="252">
        <v>239</v>
      </c>
      <c r="E151" s="253" t="s">
        <v>399</v>
      </c>
      <c r="F151" s="253"/>
      <c r="G151" s="189" t="s">
        <v>78</v>
      </c>
      <c r="H151" s="40" t="s">
        <v>78</v>
      </c>
    </row>
    <row r="152" spans="1:8" ht="12.75" customHeight="1">
      <c r="A152" s="40" t="s">
        <v>78</v>
      </c>
      <c r="B152" s="48" t="s">
        <v>78</v>
      </c>
      <c r="C152" s="38" t="s">
        <v>78</v>
      </c>
      <c r="D152" s="252"/>
      <c r="E152" s="245" t="s">
        <v>592</v>
      </c>
      <c r="F152" s="245"/>
      <c r="G152" s="189"/>
      <c r="H152" s="40" t="s">
        <v>78</v>
      </c>
    </row>
    <row r="153" spans="1:8" ht="12.75" customHeight="1">
      <c r="A153" s="40"/>
      <c r="B153" s="48"/>
      <c r="C153" s="38"/>
      <c r="D153" s="188" t="s">
        <v>78</v>
      </c>
      <c r="E153" s="40" t="s">
        <v>78</v>
      </c>
      <c r="F153" s="38"/>
      <c r="G153" s="40"/>
      <c r="H153" s="38"/>
    </row>
    <row r="154" spans="1:8" ht="12.75" customHeight="1">
      <c r="A154" s="40" t="s">
        <v>78</v>
      </c>
      <c r="B154" s="48" t="s">
        <v>78</v>
      </c>
      <c r="C154" s="38" t="s">
        <v>78</v>
      </c>
      <c r="D154" s="188"/>
      <c r="E154" s="40" t="s">
        <v>78</v>
      </c>
      <c r="F154" s="38"/>
      <c r="G154" s="40"/>
      <c r="H154" s="38"/>
    </row>
    <row r="155" spans="1:8" ht="12.75" customHeight="1">
      <c r="A155" s="146">
        <v>238</v>
      </c>
      <c r="B155" s="48"/>
      <c r="C155" s="138" t="s">
        <v>382</v>
      </c>
      <c r="D155" s="156"/>
      <c r="E155" s="190" t="s">
        <v>78</v>
      </c>
      <c r="F155" s="40" t="s">
        <v>78</v>
      </c>
      <c r="G155" s="40"/>
      <c r="H155" s="38"/>
    </row>
    <row r="156" spans="1:8" ht="12.75" customHeight="1">
      <c r="A156" s="40" t="s">
        <v>78</v>
      </c>
      <c r="B156" s="48" t="s">
        <v>78</v>
      </c>
      <c r="C156" s="38" t="s">
        <v>78</v>
      </c>
      <c r="D156" s="156"/>
      <c r="E156" s="190"/>
      <c r="F156" s="40" t="s">
        <v>78</v>
      </c>
      <c r="G156" s="27"/>
      <c r="H156" s="38"/>
    </row>
    <row r="157" spans="1:8" ht="12.75" customHeight="1">
      <c r="A157" s="54"/>
      <c r="C157" s="27"/>
      <c r="D157" s="188" t="s">
        <v>78</v>
      </c>
      <c r="E157" s="54" t="s">
        <v>78</v>
      </c>
      <c r="F157" s="27"/>
      <c r="G157" s="27"/>
      <c r="H157" s="38"/>
    </row>
    <row r="158" spans="1:8" ht="12.75" customHeight="1">
      <c r="A158" s="54" t="s">
        <v>78</v>
      </c>
      <c r="B158" s="66" t="s">
        <v>78</v>
      </c>
      <c r="C158" s="27" t="s">
        <v>78</v>
      </c>
      <c r="D158" s="188"/>
      <c r="E158" s="54" t="s">
        <v>78</v>
      </c>
      <c r="F158" s="27"/>
      <c r="G158" s="27"/>
      <c r="H158" s="38"/>
    </row>
    <row r="159" spans="1:8" ht="12.75" customHeight="1">
      <c r="A159" s="54"/>
      <c r="C159" s="27"/>
      <c r="D159" s="51"/>
      <c r="E159" s="54"/>
      <c r="F159" s="44" t="s">
        <v>78</v>
      </c>
      <c r="G159" s="54" t="s">
        <v>78</v>
      </c>
      <c r="H159" s="38"/>
    </row>
  </sheetData>
  <sheetProtection sheet="1" formatCells="0" formatColumns="0" formatRows="0" insertColumns="0" insertRows="0" deleteColumns="0" deleteRows="0" sort="0" autoFilter="0" pivotTables="0"/>
  <mergeCells count="88">
    <mergeCell ref="F11:F12"/>
    <mergeCell ref="D13:D14"/>
    <mergeCell ref="E15:E16"/>
    <mergeCell ref="D17:D18"/>
    <mergeCell ref="G19:G20"/>
    <mergeCell ref="D21:D22"/>
    <mergeCell ref="A1:H1"/>
    <mergeCell ref="A2:H2"/>
    <mergeCell ref="G3:H3"/>
    <mergeCell ref="D5:D6"/>
    <mergeCell ref="E7:E8"/>
    <mergeCell ref="D9:D10"/>
    <mergeCell ref="G35:G36"/>
    <mergeCell ref="D37:D38"/>
    <mergeCell ref="E39:E40"/>
    <mergeCell ref="D41:D42"/>
    <mergeCell ref="F43:F44"/>
    <mergeCell ref="D45:D46"/>
    <mergeCell ref="E23:E24"/>
    <mergeCell ref="D25:D26"/>
    <mergeCell ref="F27:F28"/>
    <mergeCell ref="D29:D30"/>
    <mergeCell ref="E31:E32"/>
    <mergeCell ref="D33:D34"/>
    <mergeCell ref="F59:F60"/>
    <mergeCell ref="D61:D62"/>
    <mergeCell ref="E63:E64"/>
    <mergeCell ref="D65:D66"/>
    <mergeCell ref="A67:H67"/>
    <mergeCell ref="A68:H68"/>
    <mergeCell ref="E47:E48"/>
    <mergeCell ref="D49:D50"/>
    <mergeCell ref="G51:G52"/>
    <mergeCell ref="D53:D54"/>
    <mergeCell ref="E55:E56"/>
    <mergeCell ref="D57:D58"/>
    <mergeCell ref="D83:D84"/>
    <mergeCell ref="G85:G86"/>
    <mergeCell ref="D87:D88"/>
    <mergeCell ref="E89:E90"/>
    <mergeCell ref="D91:D92"/>
    <mergeCell ref="F93:F94"/>
    <mergeCell ref="D71:D72"/>
    <mergeCell ref="E73:E74"/>
    <mergeCell ref="D75:D76"/>
    <mergeCell ref="F77:F78"/>
    <mergeCell ref="D79:D80"/>
    <mergeCell ref="E81:E82"/>
    <mergeCell ref="D107:D108"/>
    <mergeCell ref="F109:F110"/>
    <mergeCell ref="D111:D112"/>
    <mergeCell ref="E113:E114"/>
    <mergeCell ref="D115:D116"/>
    <mergeCell ref="G117:G118"/>
    <mergeCell ref="D95:D96"/>
    <mergeCell ref="E97:E98"/>
    <mergeCell ref="D99:D100"/>
    <mergeCell ref="G101:G102"/>
    <mergeCell ref="D103:D104"/>
    <mergeCell ref="E105:E106"/>
    <mergeCell ref="D131:D132"/>
    <mergeCell ref="A133:H133"/>
    <mergeCell ref="A134:H134"/>
    <mergeCell ref="D137:D138"/>
    <mergeCell ref="E139:E140"/>
    <mergeCell ref="D141:D142"/>
    <mergeCell ref="D119:D120"/>
    <mergeCell ref="E121:E122"/>
    <mergeCell ref="D123:D124"/>
    <mergeCell ref="F125:F126"/>
    <mergeCell ref="D127:D128"/>
    <mergeCell ref="E129:E130"/>
    <mergeCell ref="G151:G152"/>
    <mergeCell ref="E152:F152"/>
    <mergeCell ref="D153:D154"/>
    <mergeCell ref="K142:K143"/>
    <mergeCell ref="F143:F144"/>
    <mergeCell ref="M144:M145"/>
    <mergeCell ref="D157:D158"/>
    <mergeCell ref="D149:D150"/>
    <mergeCell ref="D151:D152"/>
    <mergeCell ref="E151:F151"/>
    <mergeCell ref="N144:O144"/>
    <mergeCell ref="D145:D146"/>
    <mergeCell ref="N145:O145"/>
    <mergeCell ref="K146:K147"/>
    <mergeCell ref="E147:E148"/>
    <mergeCell ref="E155:E156"/>
  </mergeCells>
  <conditionalFormatting sqref="G11">
    <cfRule type="expression" priority="79" dxfId="892" stopIfTrue="1">
      <formula>$F$11=63</formula>
    </cfRule>
    <cfRule type="expression" priority="80" dxfId="892" stopIfTrue="1">
      <formula>$F$11=95</formula>
    </cfRule>
  </conditionalFormatting>
  <conditionalFormatting sqref="H19">
    <cfRule type="expression" priority="75" dxfId="912" stopIfTrue="1">
      <formula>$G$19=95</formula>
    </cfRule>
    <cfRule type="expression" priority="76" dxfId="892" stopIfTrue="1">
      <formula>$G$19=127</formula>
    </cfRule>
    <cfRule type="expression" priority="77" dxfId="892" stopIfTrue="1">
      <formula>$G$19=87</formula>
    </cfRule>
    <cfRule type="expression" priority="78" dxfId="892" stopIfTrue="1">
      <formula>$G$19=119</formula>
    </cfRule>
  </conditionalFormatting>
  <conditionalFormatting sqref="C20:D20 C22 C26 C34 C30 C32:D32 C28:D28 C24:D24 E21 F23">
    <cfRule type="expression" priority="74" dxfId="888" stopIfTrue="1">
      <formula>$A$20=9</formula>
    </cfRule>
  </conditionalFormatting>
  <conditionalFormatting sqref="D21:D22 D25:D26 G27 D29:D30 E25 E33 F31 D33:D34">
    <cfRule type="expression" priority="73" dxfId="889" stopIfTrue="1">
      <formula>$A$20=9</formula>
    </cfRule>
  </conditionalFormatting>
  <conditionalFormatting sqref="E22:E24 E30:E32 F24:F30 G21:G26 G12:G18">
    <cfRule type="expression" priority="72" dxfId="886" stopIfTrue="1">
      <formula>$A$20=9</formula>
    </cfRule>
  </conditionalFormatting>
  <conditionalFormatting sqref="E29">
    <cfRule type="expression" priority="71" dxfId="913" stopIfTrue="1">
      <formula>$A$20=9</formula>
    </cfRule>
  </conditionalFormatting>
  <conditionalFormatting sqref="C38 C42 C46 C50 C54 C58 C62 C66 C36:D36 C40:D40 C44:D44 C48:D48 C52:D52 C56:D56 C60:D60 C64:D64 E37 E45 E53 E61 G43">
    <cfRule type="expression" priority="70" dxfId="888" stopIfTrue="1">
      <formula>$A$36=17</formula>
    </cfRule>
  </conditionalFormatting>
  <conditionalFormatting sqref="D37:D38 H51 G59 F63 F47 E65 E57 E49 E41 D41:D42 D45:D46 D49:D50 D53:D54 D57:D58 D61:D62 D65:D66">
    <cfRule type="expression" priority="69" dxfId="889" stopIfTrue="1">
      <formula>$A$36=17</formula>
    </cfRule>
  </conditionalFormatting>
  <conditionalFormatting sqref="E38:E40 H37:H50 F40:F46 F56:F62 G44:G58 H21:H34 E46:E48 E54:E56 E62:E64">
    <cfRule type="expression" priority="68" dxfId="886" stopIfTrue="1">
      <formula>$A$36=17</formula>
    </cfRule>
  </conditionalFormatting>
  <conditionalFormatting sqref="F39 F55">
    <cfRule type="expression" priority="67" dxfId="913" stopIfTrue="1">
      <formula>$A$36=17</formula>
    </cfRule>
  </conditionalFormatting>
  <conditionalFormatting sqref="H20 H36">
    <cfRule type="expression" priority="66" dxfId="914" stopIfTrue="1">
      <formula>$A$36=17</formula>
    </cfRule>
  </conditionalFormatting>
  <conditionalFormatting sqref="I35">
    <cfRule type="expression" priority="65" dxfId="884" stopIfTrue="1">
      <formula>$A$36=17</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64" dxfId="888" stopIfTrue="1">
      <formula>$A$70=33</formula>
    </cfRule>
  </conditionalFormatting>
  <conditionalFormatting sqref="E72:E74 H102:H116 G110:G124 G78:G92 H86:H100 E80:E82 E88:E90 E104:E106 E112:E114 E120:E122 E128:E130 E96:E98 F74:F80 F90:F96 F106:F112 F122:F128">
    <cfRule type="expression" priority="63" dxfId="886"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62" dxfId="889" stopIfTrue="1">
      <formula>$A$70=33</formula>
    </cfRule>
  </conditionalFormatting>
  <conditionalFormatting sqref="F121">
    <cfRule type="expression" priority="61" dxfId="913" stopIfTrue="1">
      <formula>$A$70=33</formula>
    </cfRule>
  </conditionalFormatting>
  <conditionalFormatting sqref="B136 B138 B140 B142 B144 B146 B148 B150 B152 B154 B156 B158">
    <cfRule type="expression" priority="60" dxfId="333" stopIfTrue="1">
      <formula>$A$136=65</formula>
    </cfRule>
  </conditionalFormatting>
  <conditionalFormatting sqref="C136:D136 C138 E137 F139 G143 C140:D140 C142 C144:D144 C146 E145 C152 C150 E153 F155 C154 C156:D156 C158 C148">
    <cfRule type="expression" priority="59" dxfId="915" stopIfTrue="1">
      <formula>$A$136=65</formula>
    </cfRule>
  </conditionalFormatting>
  <conditionalFormatting sqref="D137:D138 D141:D142 D145:D146 D157:D158 D149:D150 D153:D154">
    <cfRule type="expression" priority="58" dxfId="889" stopIfTrue="1">
      <formula>$A$136=65</formula>
    </cfRule>
  </conditionalFormatting>
  <conditionalFormatting sqref="E141 E149 F147 E157 G159">
    <cfRule type="expression" priority="57" dxfId="916" stopIfTrue="1">
      <formula>$A$136=65</formula>
    </cfRule>
  </conditionalFormatting>
  <conditionalFormatting sqref="E138:E140 E146:E148 E154:E156 F140:F146 G144:G158 F156:F159 H153:H159">
    <cfRule type="expression" priority="56" dxfId="886" stopIfTrue="1">
      <formula>$A$136=65</formula>
    </cfRule>
  </conditionalFormatting>
  <conditionalFormatting sqref="H152">
    <cfRule type="expression" priority="54" dxfId="914" stopIfTrue="1">
      <formula>$A$136=65</formula>
    </cfRule>
  </conditionalFormatting>
  <conditionalFormatting sqref="A67:H67">
    <cfRule type="expression" priority="48" dxfId="11" stopIfTrue="1">
      <formula>$A$70=33</formula>
    </cfRule>
  </conditionalFormatting>
  <conditionalFormatting sqref="D147 B147 B155">
    <cfRule type="expression" priority="47" dxfId="888" stopIfTrue="1">
      <formula>$A$149=1</formula>
    </cfRule>
  </conditionalFormatting>
  <conditionalFormatting sqref="D155">
    <cfRule type="expression" priority="46" dxfId="889" stopIfTrue="1">
      <formula>$A$149=1</formula>
    </cfRule>
  </conditionalFormatting>
  <conditionalFormatting sqref="E151:F151">
    <cfRule type="expression" priority="45" dxfId="892" stopIfTrue="1">
      <formula>$A$149=1</formula>
    </cfRule>
  </conditionalFormatting>
  <conditionalFormatting sqref="D149:D150 D153:D154">
    <cfRule type="expression" priority="43" dxfId="886" stopIfTrue="1">
      <formula>$A$149=1</formula>
    </cfRule>
    <cfRule type="expression" priority="44" dxfId="889" stopIfTrue="1">
      <formula>$A$136=65</formula>
    </cfRule>
  </conditionalFormatting>
  <conditionalFormatting sqref="D151:D152 D148">
    <cfRule type="expression" priority="41" dxfId="886" stopIfTrue="1">
      <formula>$A$149=1</formula>
    </cfRule>
    <cfRule type="expression" priority="42" dxfId="888" stopIfTrue="1">
      <formula>$A$136=65</formula>
    </cfRule>
  </conditionalFormatting>
  <conditionalFormatting sqref="A133:H133">
    <cfRule type="expression" priority="39" dxfId="11" stopIfTrue="1">
      <formula>$A$136=65</formula>
    </cfRule>
    <cfRule type="expression" priority="40" dxfId="11" stopIfTrue="1">
      <formula>$A$132=64</formula>
    </cfRule>
  </conditionalFormatting>
  <conditionalFormatting sqref="C155 C147">
    <cfRule type="expression" priority="35" dxfId="917" stopIfTrue="1">
      <formula>$A$149=1</formula>
    </cfRule>
  </conditionalFormatting>
  <conditionalFormatting sqref="H35">
    <cfRule type="expression" priority="30" dxfId="918" stopIfTrue="1">
      <formula>$G$35=111</formula>
    </cfRule>
    <cfRule type="expression" priority="31" dxfId="892" stopIfTrue="1">
      <formula>$G$35=143</formula>
    </cfRule>
    <cfRule type="expression" priority="32" dxfId="892" stopIfTrue="1">
      <formula>$G$35=175</formula>
    </cfRule>
  </conditionalFormatting>
  <conditionalFormatting sqref="G19:G20">
    <cfRule type="cellIs" priority="23" dxfId="910" operator="equal" stopIfTrue="1">
      <formula>87</formula>
    </cfRule>
    <cfRule type="cellIs" priority="24" dxfId="910" operator="equal" stopIfTrue="1">
      <formula>119</formula>
    </cfRule>
    <cfRule type="expression" priority="25" dxfId="886" stopIfTrue="1">
      <formula>$A$20=9</formula>
    </cfRule>
  </conditionalFormatting>
  <conditionalFormatting sqref="C4 C6 C8 C10 C12 C14 C16 C18 E5 E9 E13 E17 F7 G11">
    <cfRule type="expression" priority="12" dxfId="888" stopIfTrue="1">
      <formula>$A$4=1</formula>
    </cfRule>
  </conditionalFormatting>
  <conditionalFormatting sqref="D5:D6 D9:D10 D13:D14 D17:D18">
    <cfRule type="expression" priority="11" dxfId="907" stopIfTrue="1">
      <formula>$A$4=1</formula>
    </cfRule>
  </conditionalFormatting>
  <conditionalFormatting sqref="E6:E9 E14:E17 F8:F15">
    <cfRule type="expression" priority="9" dxfId="886" stopIfTrue="1">
      <formula>$A$4=1</formula>
    </cfRule>
  </conditionalFormatting>
  <conditionalFormatting sqref="E10 E18 F16">
    <cfRule type="expression" priority="8" dxfId="919" stopIfTrue="1">
      <formula>$A$4=1</formula>
    </cfRule>
  </conditionalFormatting>
  <conditionalFormatting sqref="B20 B22 B24 B26 B28 B30 B32 B34">
    <cfRule type="expression" priority="4" dxfId="333" stopIfTrue="1">
      <formula>$A$20=9</formula>
    </cfRule>
  </conditionalFormatting>
  <conditionalFormatting sqref="B36 B38 B40 B42 B44 B46 B48 B50 B52 B54 B56 B58 B60 B62 B64 B66">
    <cfRule type="expression" priority="3" dxfId="333" stopIfTrue="1">
      <formula>$A$36=17</formula>
    </cfRule>
  </conditionalFormatting>
  <conditionalFormatting sqref="B4 B6 B8 B10 B12 B14 B16 B18">
    <cfRule type="expression" priority="2" dxfId="292" stopIfTrue="1">
      <formula>$A$4=1</formula>
    </cfRule>
  </conditionalFormatting>
  <conditionalFormatting sqref="B70 B72 B74 B76 B78 B80 B82 B84 B86 B88 B90 B92 B94 B96 B98 B100 B102 B132 B106 B112 B104 B116 B118 B120 B114 B124 B126 B128 B130 B122 B108 B110">
    <cfRule type="expression" priority="1" dxfId="333" stopIfTrue="1">
      <formula>$A$70=33</formula>
    </cfRule>
  </conditionalFormatting>
  <printOptions horizontalCentered="1" verticalCentered="1"/>
  <pageMargins left="0" right="0" top="0" bottom="0.3937007874015748" header="0" footer="0"/>
  <pageSetup fitToHeight="0" horizontalDpi="600" verticalDpi="600" orientation="portrait" paperSize="9" scale="86" r:id="rId2"/>
  <rowBreaks count="2" manualBreakCount="2">
    <brk id="66" max="7" man="1"/>
    <brk id="132" max="7" man="1"/>
  </rowBreaks>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Z153"/>
  <sheetViews>
    <sheetView showGridLines="0" view="pageBreakPreview" zoomScaleSheetLayoutView="100" zoomScalePageLayoutView="0" workbookViewId="0" topLeftCell="A141">
      <selection activeCell="A154" sqref="A154:IV309"/>
    </sheetView>
  </sheetViews>
  <sheetFormatPr defaultColWidth="9.00390625" defaultRowHeight="12.75"/>
  <cols>
    <col min="1" max="1" width="4.625" style="22" customWidth="1"/>
    <col min="2" max="2" width="5.00390625" style="20" customWidth="1"/>
    <col min="3" max="3" width="30.875" style="20" customWidth="1"/>
    <col min="4" max="4" width="4.25390625" style="20" customWidth="1"/>
    <col min="5" max="8" width="17.75390625" style="30" customWidth="1"/>
    <col min="9" max="9" width="1.37890625" style="30" customWidth="1"/>
    <col min="10" max="16384" width="9.125" style="20" customWidth="1"/>
  </cols>
  <sheetData>
    <row r="1" spans="1:26" ht="27" customHeight="1">
      <c r="A1" s="264" t="s">
        <v>73</v>
      </c>
      <c r="B1" s="264"/>
      <c r="C1" s="264"/>
      <c r="D1" s="264"/>
      <c r="E1" s="264"/>
      <c r="F1" s="264"/>
      <c r="G1" s="264"/>
      <c r="H1" s="264"/>
      <c r="I1" s="168"/>
      <c r="J1" s="169"/>
      <c r="K1" s="169"/>
      <c r="L1" s="169"/>
      <c r="M1" s="169"/>
      <c r="N1" s="169"/>
      <c r="O1" s="169"/>
      <c r="P1" s="169"/>
      <c r="Q1" s="169"/>
      <c r="R1" s="169"/>
      <c r="S1" s="169"/>
      <c r="T1" s="169"/>
      <c r="U1" s="169"/>
      <c r="V1" s="169"/>
      <c r="W1" s="169"/>
      <c r="X1" s="169"/>
      <c r="Y1" s="169"/>
      <c r="Z1" s="169"/>
    </row>
    <row r="2" spans="2:12" ht="21" customHeight="1">
      <c r="B2" s="170"/>
      <c r="D2" s="192" t="s">
        <v>704</v>
      </c>
      <c r="E2" s="192"/>
      <c r="F2" s="192"/>
      <c r="J2" s="73"/>
      <c r="K2" s="73"/>
      <c r="L2" s="73"/>
    </row>
    <row r="3" spans="2:9" ht="15" customHeight="1">
      <c r="B3" s="170"/>
      <c r="F3" s="171"/>
      <c r="G3" s="197" t="s">
        <v>75</v>
      </c>
      <c r="H3" s="197"/>
      <c r="I3" s="172"/>
    </row>
    <row r="4" spans="2:9" ht="15.75">
      <c r="B4" s="66">
        <v>5</v>
      </c>
      <c r="C4" s="25" t="s">
        <v>856</v>
      </c>
      <c r="D4" s="173"/>
      <c r="H4" s="31" t="s">
        <v>855</v>
      </c>
      <c r="I4" s="31"/>
    </row>
    <row r="5" spans="1:6" ht="12.75">
      <c r="A5" s="22">
        <v>1</v>
      </c>
      <c r="B5" s="66">
        <v>8</v>
      </c>
      <c r="C5" s="46" t="s">
        <v>854</v>
      </c>
      <c r="D5" s="46"/>
      <c r="E5" s="67" t="s">
        <v>470</v>
      </c>
      <c r="F5" s="67"/>
    </row>
    <row r="6" spans="2:6" ht="12.75">
      <c r="B6" s="66" t="s">
        <v>78</v>
      </c>
      <c r="C6" s="68" t="s">
        <v>79</v>
      </c>
      <c r="D6" s="261">
        <v>1</v>
      </c>
      <c r="E6" s="67" t="s">
        <v>467</v>
      </c>
      <c r="F6" s="67"/>
    </row>
    <row r="7" spans="1:6" ht="12.75">
      <c r="A7" s="22">
        <v>2</v>
      </c>
      <c r="B7" s="66" t="s">
        <v>78</v>
      </c>
      <c r="C7" s="68" t="s">
        <v>79</v>
      </c>
      <c r="D7" s="261"/>
      <c r="E7" s="67" t="s">
        <v>78</v>
      </c>
      <c r="F7" s="67" t="s">
        <v>470</v>
      </c>
    </row>
    <row r="8" spans="2:6" ht="12.75">
      <c r="B8" s="66">
        <v>112</v>
      </c>
      <c r="C8" s="68" t="s">
        <v>853</v>
      </c>
      <c r="D8" s="174"/>
      <c r="E8" s="175">
        <v>33</v>
      </c>
      <c r="F8" s="67" t="s">
        <v>467</v>
      </c>
    </row>
    <row r="9" spans="1:7" ht="12.75">
      <c r="A9" s="22">
        <v>3</v>
      </c>
      <c r="B9" s="66">
        <v>183</v>
      </c>
      <c r="C9" s="68" t="s">
        <v>852</v>
      </c>
      <c r="D9" s="174"/>
      <c r="E9" s="67" t="s">
        <v>453</v>
      </c>
      <c r="F9" s="67" t="s">
        <v>851</v>
      </c>
      <c r="G9" s="67"/>
    </row>
    <row r="10" spans="2:7" ht="12.75">
      <c r="B10" s="66">
        <v>23</v>
      </c>
      <c r="C10" s="68" t="s">
        <v>850</v>
      </c>
      <c r="D10" s="261">
        <v>2</v>
      </c>
      <c r="E10" s="67" t="s">
        <v>413</v>
      </c>
      <c r="F10" s="67"/>
      <c r="G10" s="67"/>
    </row>
    <row r="11" spans="1:7" ht="12.75">
      <c r="A11" s="22">
        <v>4</v>
      </c>
      <c r="B11" s="66">
        <v>63</v>
      </c>
      <c r="C11" s="68" t="s">
        <v>849</v>
      </c>
      <c r="D11" s="261"/>
      <c r="E11" s="67" t="s">
        <v>848</v>
      </c>
      <c r="F11" s="67"/>
      <c r="G11" s="67" t="s">
        <v>470</v>
      </c>
    </row>
    <row r="12" spans="2:8" ht="12.75">
      <c r="B12" s="66">
        <v>38</v>
      </c>
      <c r="C12" s="68" t="s">
        <v>847</v>
      </c>
      <c r="D12" s="174"/>
      <c r="E12" s="67"/>
      <c r="F12" s="261">
        <v>49</v>
      </c>
      <c r="G12" s="67" t="s">
        <v>467</v>
      </c>
      <c r="H12" s="67"/>
    </row>
    <row r="13" spans="1:8" ht="12.75">
      <c r="A13" s="22">
        <v>5</v>
      </c>
      <c r="B13" s="66">
        <v>48</v>
      </c>
      <c r="C13" s="68" t="s">
        <v>846</v>
      </c>
      <c r="D13" s="174"/>
      <c r="E13" s="67" t="s">
        <v>435</v>
      </c>
      <c r="F13" s="261"/>
      <c r="G13" s="67" t="s">
        <v>845</v>
      </c>
      <c r="H13" s="67"/>
    </row>
    <row r="14" spans="2:8" ht="12.75">
      <c r="B14" s="66">
        <v>43</v>
      </c>
      <c r="C14" s="68" t="s">
        <v>844</v>
      </c>
      <c r="D14" s="261">
        <v>3</v>
      </c>
      <c r="E14" s="67" t="s">
        <v>426</v>
      </c>
      <c r="F14" s="67"/>
      <c r="G14" s="67"/>
      <c r="H14" s="67"/>
    </row>
    <row r="15" spans="1:8" ht="12.75">
      <c r="A15" s="22">
        <v>6</v>
      </c>
      <c r="B15" s="66">
        <v>59</v>
      </c>
      <c r="C15" s="68" t="s">
        <v>843</v>
      </c>
      <c r="D15" s="261"/>
      <c r="E15" s="67" t="s">
        <v>842</v>
      </c>
      <c r="F15" s="67" t="s">
        <v>435</v>
      </c>
      <c r="G15" s="67"/>
      <c r="H15" s="67"/>
    </row>
    <row r="16" spans="2:8" ht="12.75">
      <c r="B16" s="66">
        <v>64</v>
      </c>
      <c r="C16" s="68" t="s">
        <v>841</v>
      </c>
      <c r="D16" s="174"/>
      <c r="E16" s="175">
        <v>34</v>
      </c>
      <c r="F16" s="67" t="s">
        <v>426</v>
      </c>
      <c r="G16" s="67"/>
      <c r="H16" s="67"/>
    </row>
    <row r="17" spans="1:8" ht="12.75">
      <c r="A17" s="22">
        <v>7</v>
      </c>
      <c r="B17" s="66">
        <v>66</v>
      </c>
      <c r="C17" s="68" t="s">
        <v>840</v>
      </c>
      <c r="D17" s="174"/>
      <c r="E17" s="67" t="s">
        <v>412</v>
      </c>
      <c r="F17" s="67" t="s">
        <v>839</v>
      </c>
      <c r="G17" s="67"/>
      <c r="H17" s="67"/>
    </row>
    <row r="18" spans="2:8" ht="12.75">
      <c r="B18" s="66">
        <v>128</v>
      </c>
      <c r="C18" s="68" t="s">
        <v>838</v>
      </c>
      <c r="D18" s="261">
        <v>4</v>
      </c>
      <c r="E18" s="67" t="s">
        <v>409</v>
      </c>
      <c r="F18" s="67"/>
      <c r="G18" s="67"/>
      <c r="H18" s="54"/>
    </row>
    <row r="19" spans="1:8" ht="12.75">
      <c r="A19" s="22">
        <v>8</v>
      </c>
      <c r="B19" s="66">
        <v>140</v>
      </c>
      <c r="C19" s="68" t="s">
        <v>837</v>
      </c>
      <c r="D19" s="261"/>
      <c r="E19" s="67" t="s">
        <v>836</v>
      </c>
      <c r="F19" s="67"/>
      <c r="G19" s="67"/>
      <c r="H19" s="54" t="s">
        <v>468</v>
      </c>
    </row>
    <row r="20" spans="2:8" ht="12.75">
      <c r="B20" s="48">
        <v>75</v>
      </c>
      <c r="C20" s="68" t="s">
        <v>835</v>
      </c>
      <c r="D20" s="174"/>
      <c r="E20" s="67"/>
      <c r="F20" s="67"/>
      <c r="G20" s="261">
        <v>57</v>
      </c>
      <c r="H20" s="54" t="s">
        <v>454</v>
      </c>
    </row>
    <row r="21" spans="1:9" ht="12.75">
      <c r="A21" s="22">
        <v>9</v>
      </c>
      <c r="B21" s="48">
        <v>98</v>
      </c>
      <c r="C21" s="68" t="s">
        <v>834</v>
      </c>
      <c r="D21" s="174"/>
      <c r="E21" s="67" t="s">
        <v>404</v>
      </c>
      <c r="F21" s="67"/>
      <c r="G21" s="261"/>
      <c r="H21" s="54" t="s">
        <v>833</v>
      </c>
      <c r="I21" s="67"/>
    </row>
    <row r="22" spans="2:9" ht="12.75">
      <c r="B22" s="48" t="s">
        <v>78</v>
      </c>
      <c r="C22" s="68" t="s">
        <v>79</v>
      </c>
      <c r="D22" s="261">
        <v>5</v>
      </c>
      <c r="E22" s="67" t="s">
        <v>381</v>
      </c>
      <c r="F22" s="67"/>
      <c r="G22" s="67"/>
      <c r="H22" s="67"/>
      <c r="I22" s="67"/>
    </row>
    <row r="23" spans="1:9" ht="12.75">
      <c r="A23" s="22">
        <v>10</v>
      </c>
      <c r="B23" s="48" t="s">
        <v>78</v>
      </c>
      <c r="C23" s="68" t="s">
        <v>79</v>
      </c>
      <c r="D23" s="261"/>
      <c r="E23" s="67" t="s">
        <v>78</v>
      </c>
      <c r="F23" s="67" t="s">
        <v>432</v>
      </c>
      <c r="G23" s="67"/>
      <c r="H23" s="67"/>
      <c r="I23" s="67"/>
    </row>
    <row r="24" spans="2:9" ht="12.75">
      <c r="B24" s="48">
        <v>31</v>
      </c>
      <c r="C24" s="68" t="s">
        <v>832</v>
      </c>
      <c r="D24" s="174"/>
      <c r="E24" s="175">
        <v>35</v>
      </c>
      <c r="F24" s="67" t="s">
        <v>423</v>
      </c>
      <c r="G24" s="67"/>
      <c r="H24" s="67"/>
      <c r="I24" s="67"/>
    </row>
    <row r="25" spans="1:9" ht="12.75">
      <c r="A25" s="22">
        <v>11</v>
      </c>
      <c r="B25" s="48">
        <v>42</v>
      </c>
      <c r="C25" s="68" t="s">
        <v>831</v>
      </c>
      <c r="D25" s="174"/>
      <c r="E25" s="67" t="s">
        <v>432</v>
      </c>
      <c r="F25" s="67" t="s">
        <v>830</v>
      </c>
      <c r="G25" s="67"/>
      <c r="H25" s="67"/>
      <c r="I25" s="67"/>
    </row>
    <row r="26" spans="2:9" ht="12.75">
      <c r="B26" s="48">
        <v>41</v>
      </c>
      <c r="C26" s="68" t="s">
        <v>829</v>
      </c>
      <c r="D26" s="261">
        <v>6</v>
      </c>
      <c r="E26" s="67" t="s">
        <v>423</v>
      </c>
      <c r="F26" s="67"/>
      <c r="G26" s="67"/>
      <c r="H26" s="67"/>
      <c r="I26" s="67"/>
    </row>
    <row r="27" spans="1:9" ht="12.75">
      <c r="A27" s="22">
        <v>12</v>
      </c>
      <c r="B27" s="48">
        <v>50</v>
      </c>
      <c r="C27" s="68" t="s">
        <v>828</v>
      </c>
      <c r="D27" s="261"/>
      <c r="E27" s="67" t="s">
        <v>827</v>
      </c>
      <c r="F27" s="67"/>
      <c r="G27" s="67" t="s">
        <v>468</v>
      </c>
      <c r="H27" s="67"/>
      <c r="I27" s="67"/>
    </row>
    <row r="28" spans="2:9" ht="12.75">
      <c r="B28" s="48">
        <v>20</v>
      </c>
      <c r="C28" s="68" t="s">
        <v>826</v>
      </c>
      <c r="D28" s="174"/>
      <c r="E28" s="67"/>
      <c r="F28" s="261">
        <v>50</v>
      </c>
      <c r="G28" s="67" t="s">
        <v>454</v>
      </c>
      <c r="H28" s="67"/>
      <c r="I28" s="67"/>
    </row>
    <row r="29" spans="1:9" ht="12.75">
      <c r="A29" s="22">
        <v>13</v>
      </c>
      <c r="B29" s="48">
        <v>37</v>
      </c>
      <c r="C29" s="68" t="s">
        <v>825</v>
      </c>
      <c r="D29" s="174"/>
      <c r="E29" s="67" t="s">
        <v>456</v>
      </c>
      <c r="F29" s="261"/>
      <c r="G29" s="67" t="s">
        <v>824</v>
      </c>
      <c r="H29" s="67"/>
      <c r="I29" s="67"/>
    </row>
    <row r="30" spans="2:9" ht="12.75">
      <c r="B30" s="48">
        <v>65</v>
      </c>
      <c r="C30" s="68" t="s">
        <v>823</v>
      </c>
      <c r="D30" s="261">
        <v>7</v>
      </c>
      <c r="E30" s="67" t="s">
        <v>436</v>
      </c>
      <c r="F30" s="67"/>
      <c r="G30" s="67"/>
      <c r="H30" s="67"/>
      <c r="I30" s="67"/>
    </row>
    <row r="31" spans="1:9" ht="12.75">
      <c r="A31" s="22">
        <v>14</v>
      </c>
      <c r="B31" s="48">
        <v>190</v>
      </c>
      <c r="C31" s="68" t="s">
        <v>822</v>
      </c>
      <c r="D31" s="261"/>
      <c r="E31" s="67" t="s">
        <v>821</v>
      </c>
      <c r="F31" s="67" t="s">
        <v>468</v>
      </c>
      <c r="G31" s="67"/>
      <c r="H31" s="67"/>
      <c r="I31" s="67"/>
    </row>
    <row r="32" spans="2:9" ht="12.75">
      <c r="B32" s="48" t="s">
        <v>78</v>
      </c>
      <c r="C32" s="68" t="s">
        <v>79</v>
      </c>
      <c r="D32" s="174"/>
      <c r="E32" s="175">
        <v>36</v>
      </c>
      <c r="F32" s="67" t="s">
        <v>454</v>
      </c>
      <c r="G32" s="67"/>
      <c r="H32" s="67"/>
      <c r="I32" s="67"/>
    </row>
    <row r="33" spans="1:9" ht="12.75">
      <c r="A33" s="22">
        <v>15</v>
      </c>
      <c r="B33" s="48" t="s">
        <v>78</v>
      </c>
      <c r="C33" s="68" t="s">
        <v>79</v>
      </c>
      <c r="D33" s="174"/>
      <c r="E33" s="67" t="s">
        <v>468</v>
      </c>
      <c r="F33" s="67" t="s">
        <v>820</v>
      </c>
      <c r="G33" s="67"/>
      <c r="H33" s="67"/>
      <c r="I33" s="67"/>
    </row>
    <row r="34" spans="2:9" ht="12.75">
      <c r="B34" s="48">
        <v>7</v>
      </c>
      <c r="C34" s="46" t="s">
        <v>819</v>
      </c>
      <c r="D34" s="261">
        <v>8</v>
      </c>
      <c r="E34" s="67" t="s">
        <v>454</v>
      </c>
      <c r="F34" s="67"/>
      <c r="G34" s="67"/>
      <c r="H34" s="67"/>
      <c r="I34" s="67"/>
    </row>
    <row r="35" spans="1:10" ht="12.75">
      <c r="A35" s="22">
        <v>16</v>
      </c>
      <c r="B35" s="48">
        <v>22</v>
      </c>
      <c r="C35" s="46" t="s">
        <v>818</v>
      </c>
      <c r="D35" s="261"/>
      <c r="E35" s="54" t="s">
        <v>78</v>
      </c>
      <c r="F35" s="67"/>
      <c r="G35" s="67"/>
      <c r="H35" s="48" t="s">
        <v>466</v>
      </c>
      <c r="I35" s="176"/>
      <c r="J35" s="68"/>
    </row>
    <row r="36" spans="2:10" ht="12.75">
      <c r="B36" s="48">
        <v>12</v>
      </c>
      <c r="C36" s="46" t="s">
        <v>817</v>
      </c>
      <c r="D36" s="174"/>
      <c r="E36" s="54"/>
      <c r="F36" s="67"/>
      <c r="G36" s="189">
        <v>61</v>
      </c>
      <c r="H36" s="48" t="s">
        <v>459</v>
      </c>
      <c r="I36" s="67"/>
      <c r="J36" s="68"/>
    </row>
    <row r="37" spans="1:10" ht="12.75">
      <c r="A37" s="22">
        <v>17</v>
      </c>
      <c r="B37" s="48">
        <v>33</v>
      </c>
      <c r="C37" s="46" t="s">
        <v>816</v>
      </c>
      <c r="D37" s="174"/>
      <c r="E37" s="67" t="s">
        <v>463</v>
      </c>
      <c r="F37" s="67"/>
      <c r="G37" s="189"/>
      <c r="H37" s="67" t="s">
        <v>815</v>
      </c>
      <c r="I37" s="67"/>
      <c r="J37" s="68"/>
    </row>
    <row r="38" spans="2:9" ht="12.75">
      <c r="B38" s="48" t="s">
        <v>78</v>
      </c>
      <c r="C38" s="68" t="s">
        <v>79</v>
      </c>
      <c r="D38" s="261">
        <v>9</v>
      </c>
      <c r="E38" s="67" t="s">
        <v>441</v>
      </c>
      <c r="F38" s="67"/>
      <c r="G38" s="67"/>
      <c r="H38" s="67"/>
      <c r="I38" s="67"/>
    </row>
    <row r="39" spans="1:9" ht="12.75">
      <c r="A39" s="22">
        <v>18</v>
      </c>
      <c r="B39" s="48" t="s">
        <v>78</v>
      </c>
      <c r="C39" s="68" t="s">
        <v>79</v>
      </c>
      <c r="D39" s="261"/>
      <c r="E39" s="54" t="s">
        <v>78</v>
      </c>
      <c r="F39" s="67" t="s">
        <v>463</v>
      </c>
      <c r="G39" s="67"/>
      <c r="H39" s="67"/>
      <c r="I39" s="67"/>
    </row>
    <row r="40" spans="2:9" ht="12.75">
      <c r="B40" s="48">
        <v>86</v>
      </c>
      <c r="C40" s="46" t="s">
        <v>814</v>
      </c>
      <c r="D40" s="174"/>
      <c r="E40" s="175">
        <v>37</v>
      </c>
      <c r="F40" s="67" t="s">
        <v>441</v>
      </c>
      <c r="G40" s="67"/>
      <c r="H40" s="67"/>
      <c r="I40" s="67"/>
    </row>
    <row r="41" spans="1:9" ht="12.75">
      <c r="A41" s="22">
        <v>19</v>
      </c>
      <c r="B41" s="48">
        <v>87</v>
      </c>
      <c r="C41" s="46" t="s">
        <v>813</v>
      </c>
      <c r="D41" s="174"/>
      <c r="E41" s="67" t="s">
        <v>402</v>
      </c>
      <c r="F41" s="67" t="s">
        <v>812</v>
      </c>
      <c r="G41" s="67"/>
      <c r="H41" s="67"/>
      <c r="I41" s="67"/>
    </row>
    <row r="42" spans="2:9" ht="12.75">
      <c r="B42" s="48">
        <v>77</v>
      </c>
      <c r="C42" s="46" t="s">
        <v>811</v>
      </c>
      <c r="D42" s="261">
        <v>10</v>
      </c>
      <c r="E42" s="67" t="s">
        <v>395</v>
      </c>
      <c r="F42" s="67"/>
      <c r="G42" s="67"/>
      <c r="H42" s="67"/>
      <c r="I42" s="67"/>
    </row>
    <row r="43" spans="1:9" ht="12.75">
      <c r="A43" s="22">
        <v>20</v>
      </c>
      <c r="B43" s="48">
        <v>83</v>
      </c>
      <c r="C43" s="46" t="s">
        <v>810</v>
      </c>
      <c r="D43" s="261"/>
      <c r="E43" s="54" t="s">
        <v>809</v>
      </c>
      <c r="F43" s="67"/>
      <c r="G43" s="67" t="s">
        <v>447</v>
      </c>
      <c r="H43" s="67"/>
      <c r="I43" s="67"/>
    </row>
    <row r="44" spans="2:9" ht="12.75">
      <c r="B44" s="48">
        <v>85</v>
      </c>
      <c r="C44" s="46" t="s">
        <v>808</v>
      </c>
      <c r="D44" s="174"/>
      <c r="E44" s="54"/>
      <c r="F44" s="261">
        <v>51</v>
      </c>
      <c r="G44" s="67" t="s">
        <v>388</v>
      </c>
      <c r="H44" s="67"/>
      <c r="I44" s="67"/>
    </row>
    <row r="45" spans="1:9" ht="12.75">
      <c r="A45" s="22">
        <v>21</v>
      </c>
      <c r="B45" s="48">
        <v>129</v>
      </c>
      <c r="C45" s="46" t="s">
        <v>807</v>
      </c>
      <c r="D45" s="174"/>
      <c r="E45" s="67" t="s">
        <v>447</v>
      </c>
      <c r="F45" s="261"/>
      <c r="G45" s="67" t="s">
        <v>806</v>
      </c>
      <c r="H45" s="67"/>
      <c r="I45" s="67"/>
    </row>
    <row r="46" spans="2:9" ht="12.75">
      <c r="B46" s="48">
        <v>29</v>
      </c>
      <c r="C46" s="46" t="s">
        <v>805</v>
      </c>
      <c r="D46" s="261">
        <v>11</v>
      </c>
      <c r="E46" s="67" t="s">
        <v>388</v>
      </c>
      <c r="F46" s="67"/>
      <c r="G46" s="67"/>
      <c r="H46" s="67"/>
      <c r="I46" s="67"/>
    </row>
    <row r="47" spans="1:9" ht="12.75">
      <c r="A47" s="22">
        <v>22</v>
      </c>
      <c r="B47" s="48">
        <v>91</v>
      </c>
      <c r="C47" s="46" t="s">
        <v>804</v>
      </c>
      <c r="D47" s="261"/>
      <c r="E47" s="54" t="s">
        <v>803</v>
      </c>
      <c r="F47" s="67" t="s">
        <v>447</v>
      </c>
      <c r="G47" s="67"/>
      <c r="H47" s="67"/>
      <c r="I47" s="67"/>
    </row>
    <row r="48" spans="2:9" ht="12.75">
      <c r="B48" s="48" t="s">
        <v>78</v>
      </c>
      <c r="C48" s="46" t="s">
        <v>79</v>
      </c>
      <c r="D48" s="174"/>
      <c r="E48" s="175">
        <v>38</v>
      </c>
      <c r="F48" s="67" t="s">
        <v>388</v>
      </c>
      <c r="G48" s="67"/>
      <c r="H48" s="67"/>
      <c r="I48" s="67"/>
    </row>
    <row r="49" spans="1:9" ht="12.75">
      <c r="A49" s="22">
        <v>23</v>
      </c>
      <c r="B49" s="48" t="s">
        <v>78</v>
      </c>
      <c r="C49" s="46" t="s">
        <v>79</v>
      </c>
      <c r="D49" s="174"/>
      <c r="E49" s="67" t="s">
        <v>415</v>
      </c>
      <c r="F49" s="67" t="s">
        <v>802</v>
      </c>
      <c r="G49" s="67"/>
      <c r="H49" s="67"/>
      <c r="I49" s="67"/>
    </row>
    <row r="50" spans="2:9" ht="12.75">
      <c r="B50" s="48">
        <v>60</v>
      </c>
      <c r="C50" s="46" t="s">
        <v>801</v>
      </c>
      <c r="D50" s="261">
        <v>12</v>
      </c>
      <c r="E50" s="67" t="s">
        <v>400</v>
      </c>
      <c r="F50" s="67"/>
      <c r="G50" s="67"/>
      <c r="H50" s="67"/>
      <c r="I50" s="67"/>
    </row>
    <row r="51" spans="1:9" ht="12.75">
      <c r="A51" s="22">
        <v>24</v>
      </c>
      <c r="B51" s="48">
        <v>80</v>
      </c>
      <c r="C51" s="46" t="s">
        <v>800</v>
      </c>
      <c r="D51" s="261"/>
      <c r="E51" s="54" t="s">
        <v>78</v>
      </c>
      <c r="F51" s="67"/>
      <c r="G51" s="67"/>
      <c r="H51" s="54" t="s">
        <v>466</v>
      </c>
      <c r="I51" s="67"/>
    </row>
    <row r="52" spans="2:9" ht="12.75">
      <c r="B52" s="48">
        <v>47</v>
      </c>
      <c r="C52" s="46" t="s">
        <v>799</v>
      </c>
      <c r="D52" s="174"/>
      <c r="E52" s="54"/>
      <c r="F52" s="67"/>
      <c r="G52" s="261">
        <v>58</v>
      </c>
      <c r="H52" s="54" t="s">
        <v>459</v>
      </c>
      <c r="I52" s="67"/>
    </row>
    <row r="53" spans="1:9" ht="12.75">
      <c r="A53" s="22">
        <v>25</v>
      </c>
      <c r="B53" s="48">
        <v>182</v>
      </c>
      <c r="C53" s="46" t="s">
        <v>798</v>
      </c>
      <c r="D53" s="174"/>
      <c r="E53" s="67" t="s">
        <v>427</v>
      </c>
      <c r="F53" s="67"/>
      <c r="G53" s="261"/>
      <c r="H53" s="67" t="s">
        <v>797</v>
      </c>
      <c r="I53" s="67"/>
    </row>
    <row r="54" spans="2:7" ht="12.75">
      <c r="B54" s="48" t="s">
        <v>78</v>
      </c>
      <c r="C54" s="46" t="s">
        <v>79</v>
      </c>
      <c r="D54" s="261">
        <v>13</v>
      </c>
      <c r="E54" s="67" t="s">
        <v>350</v>
      </c>
      <c r="F54" s="67"/>
      <c r="G54" s="67"/>
    </row>
    <row r="55" spans="1:7" ht="12.75">
      <c r="A55" s="22">
        <v>26</v>
      </c>
      <c r="B55" s="48" t="s">
        <v>78</v>
      </c>
      <c r="C55" s="46" t="s">
        <v>79</v>
      </c>
      <c r="D55" s="261"/>
      <c r="E55" s="54" t="s">
        <v>78</v>
      </c>
      <c r="F55" s="67" t="s">
        <v>450</v>
      </c>
      <c r="G55" s="67"/>
    </row>
    <row r="56" spans="2:7" ht="12.75">
      <c r="B56" s="48">
        <v>26</v>
      </c>
      <c r="C56" s="46" t="s">
        <v>796</v>
      </c>
      <c r="D56" s="174"/>
      <c r="E56" s="175">
        <v>39</v>
      </c>
      <c r="F56" s="67" t="s">
        <v>448</v>
      </c>
      <c r="G56" s="67"/>
    </row>
    <row r="57" spans="1:7" ht="12.75">
      <c r="A57" s="22">
        <v>27</v>
      </c>
      <c r="B57" s="48">
        <v>28</v>
      </c>
      <c r="C57" s="46" t="s">
        <v>795</v>
      </c>
      <c r="D57" s="174"/>
      <c r="E57" s="67" t="s">
        <v>450</v>
      </c>
      <c r="F57" s="67" t="s">
        <v>794</v>
      </c>
      <c r="G57" s="67"/>
    </row>
    <row r="58" spans="2:7" ht="12.75">
      <c r="B58" s="48">
        <v>89</v>
      </c>
      <c r="C58" s="46" t="s">
        <v>793</v>
      </c>
      <c r="D58" s="261">
        <v>14</v>
      </c>
      <c r="E58" s="67" t="s">
        <v>448</v>
      </c>
      <c r="F58" s="67"/>
      <c r="G58" s="67"/>
    </row>
    <row r="59" spans="1:7" ht="12.75">
      <c r="A59" s="22">
        <v>28</v>
      </c>
      <c r="B59" s="48">
        <v>143</v>
      </c>
      <c r="C59" s="46" t="s">
        <v>792</v>
      </c>
      <c r="D59" s="261"/>
      <c r="E59" s="54" t="s">
        <v>729</v>
      </c>
      <c r="F59" s="67"/>
      <c r="G59" s="67" t="s">
        <v>466</v>
      </c>
    </row>
    <row r="60" spans="2:7" ht="12.75">
      <c r="B60" s="48">
        <v>119</v>
      </c>
      <c r="C60" s="46" t="s">
        <v>791</v>
      </c>
      <c r="D60" s="174"/>
      <c r="E60" s="54"/>
      <c r="F60" s="261">
        <v>52</v>
      </c>
      <c r="G60" s="67" t="s">
        <v>459</v>
      </c>
    </row>
    <row r="61" spans="1:7" ht="12.75">
      <c r="A61" s="22">
        <v>29</v>
      </c>
      <c r="B61" s="48">
        <v>173</v>
      </c>
      <c r="C61" s="46" t="s">
        <v>790</v>
      </c>
      <c r="D61" s="174"/>
      <c r="E61" s="67" t="s">
        <v>370</v>
      </c>
      <c r="F61" s="261"/>
      <c r="G61" s="67" t="s">
        <v>789</v>
      </c>
    </row>
    <row r="62" spans="2:7" ht="12.75">
      <c r="B62" s="48">
        <v>193</v>
      </c>
      <c r="C62" s="46" t="s">
        <v>788</v>
      </c>
      <c r="D62" s="261">
        <v>15</v>
      </c>
      <c r="E62" s="67" t="s">
        <v>357</v>
      </c>
      <c r="F62" s="67"/>
      <c r="G62" s="67"/>
    </row>
    <row r="63" spans="1:7" ht="12.75">
      <c r="A63" s="22">
        <v>30</v>
      </c>
      <c r="B63" s="48">
        <v>196</v>
      </c>
      <c r="C63" s="46" t="s">
        <v>787</v>
      </c>
      <c r="D63" s="261"/>
      <c r="E63" s="54" t="s">
        <v>786</v>
      </c>
      <c r="F63" s="67" t="s">
        <v>466</v>
      </c>
      <c r="G63" s="67"/>
    </row>
    <row r="64" spans="2:7" ht="12.75">
      <c r="B64" s="48" t="s">
        <v>78</v>
      </c>
      <c r="C64" s="46" t="s">
        <v>79</v>
      </c>
      <c r="D64" s="174"/>
      <c r="E64" s="175">
        <v>40</v>
      </c>
      <c r="F64" s="67" t="s">
        <v>459</v>
      </c>
      <c r="G64" s="67"/>
    </row>
    <row r="65" spans="1:7" ht="12.75">
      <c r="A65" s="22">
        <v>31</v>
      </c>
      <c r="B65" s="48" t="s">
        <v>78</v>
      </c>
      <c r="C65" s="46" t="s">
        <v>79</v>
      </c>
      <c r="D65" s="174"/>
      <c r="E65" s="67" t="s">
        <v>466</v>
      </c>
      <c r="F65" s="67" t="s">
        <v>785</v>
      </c>
      <c r="G65" s="67"/>
    </row>
    <row r="66" spans="2:7" ht="12.75">
      <c r="B66" s="48">
        <v>9</v>
      </c>
      <c r="C66" s="46" t="s">
        <v>784</v>
      </c>
      <c r="D66" s="261">
        <v>16</v>
      </c>
      <c r="E66" s="67" t="s">
        <v>459</v>
      </c>
      <c r="F66" s="67"/>
      <c r="G66" s="67"/>
    </row>
    <row r="67" spans="1:7" ht="12.75">
      <c r="A67" s="22">
        <v>32</v>
      </c>
      <c r="B67" s="48">
        <v>16</v>
      </c>
      <c r="C67" s="46" t="s">
        <v>783</v>
      </c>
      <c r="D67" s="261"/>
      <c r="E67" s="67" t="s">
        <v>78</v>
      </c>
      <c r="F67" s="67"/>
      <c r="G67" s="67"/>
    </row>
    <row r="68" spans="1:9" ht="25.5">
      <c r="A68" s="262" t="s">
        <v>73</v>
      </c>
      <c r="B68" s="262"/>
      <c r="C68" s="262"/>
      <c r="D68" s="262"/>
      <c r="E68" s="262"/>
      <c r="F68" s="262"/>
      <c r="G68" s="262"/>
      <c r="H68" s="262"/>
      <c r="I68" s="177"/>
    </row>
    <row r="69" spans="2:8" ht="18.75">
      <c r="B69" s="170"/>
      <c r="D69" s="192" t="s">
        <v>704</v>
      </c>
      <c r="E69" s="192"/>
      <c r="F69" s="192"/>
      <c r="H69" s="120" t="s">
        <v>75</v>
      </c>
    </row>
    <row r="70" spans="2:8" ht="15" customHeight="1">
      <c r="B70" s="170"/>
      <c r="F70" s="171"/>
      <c r="H70" s="178" t="s">
        <v>782</v>
      </c>
    </row>
    <row r="71" spans="2:4" ht="13.5">
      <c r="B71" s="66">
        <v>10</v>
      </c>
      <c r="C71" s="25" t="s">
        <v>781</v>
      </c>
      <c r="D71" s="170"/>
    </row>
    <row r="72" spans="1:8" ht="12.75">
      <c r="A72" s="22">
        <v>33</v>
      </c>
      <c r="B72" s="66">
        <v>17</v>
      </c>
      <c r="C72" s="46" t="s">
        <v>780</v>
      </c>
      <c r="D72" s="68"/>
      <c r="E72" s="67" t="s">
        <v>465</v>
      </c>
      <c r="F72" s="67"/>
      <c r="G72" s="67"/>
      <c r="H72" s="67"/>
    </row>
    <row r="73" spans="2:8" ht="12.75">
      <c r="B73" s="66" t="s">
        <v>78</v>
      </c>
      <c r="C73" s="46" t="s">
        <v>79</v>
      </c>
      <c r="D73" s="261">
        <v>17</v>
      </c>
      <c r="E73" s="67" t="s">
        <v>458</v>
      </c>
      <c r="F73" s="67"/>
      <c r="G73" s="67"/>
      <c r="H73" s="67"/>
    </row>
    <row r="74" spans="1:8" ht="12.75">
      <c r="A74" s="22">
        <v>34</v>
      </c>
      <c r="B74" s="66" t="s">
        <v>78</v>
      </c>
      <c r="C74" s="46" t="s">
        <v>79</v>
      </c>
      <c r="D74" s="261"/>
      <c r="E74" s="67" t="s">
        <v>78</v>
      </c>
      <c r="F74" s="67" t="s">
        <v>465</v>
      </c>
      <c r="G74" s="67"/>
      <c r="H74" s="67"/>
    </row>
    <row r="75" spans="2:8" ht="12.75">
      <c r="B75" s="66">
        <v>189</v>
      </c>
      <c r="C75" s="46" t="s">
        <v>779</v>
      </c>
      <c r="D75" s="174"/>
      <c r="E75" s="175">
        <v>41</v>
      </c>
      <c r="F75" s="67" t="s">
        <v>458</v>
      </c>
      <c r="G75" s="67"/>
      <c r="H75" s="67"/>
    </row>
    <row r="76" spans="1:8" ht="12.75">
      <c r="A76" s="22">
        <v>35</v>
      </c>
      <c r="B76" s="66">
        <v>194</v>
      </c>
      <c r="C76" s="46" t="s">
        <v>778</v>
      </c>
      <c r="D76" s="174"/>
      <c r="E76" s="67" t="s">
        <v>460</v>
      </c>
      <c r="F76" s="67" t="s">
        <v>777</v>
      </c>
      <c r="G76" s="67"/>
      <c r="H76" s="67"/>
    </row>
    <row r="77" spans="2:8" ht="12.75">
      <c r="B77" s="66">
        <v>15</v>
      </c>
      <c r="C77" s="46" t="s">
        <v>776</v>
      </c>
      <c r="D77" s="261">
        <v>18</v>
      </c>
      <c r="E77" s="67" t="s">
        <v>421</v>
      </c>
      <c r="F77" s="67"/>
      <c r="G77" s="67"/>
      <c r="H77" s="67"/>
    </row>
    <row r="78" spans="1:8" ht="12.75">
      <c r="A78" s="22">
        <v>36</v>
      </c>
      <c r="B78" s="66">
        <v>53</v>
      </c>
      <c r="C78" s="46" t="s">
        <v>775</v>
      </c>
      <c r="D78" s="261"/>
      <c r="E78" s="67" t="s">
        <v>774</v>
      </c>
      <c r="F78" s="67"/>
      <c r="G78" s="67" t="s">
        <v>465</v>
      </c>
      <c r="H78" s="67"/>
    </row>
    <row r="79" spans="2:8" ht="12.75">
      <c r="B79" s="66">
        <v>13</v>
      </c>
      <c r="C79" s="46" t="s">
        <v>773</v>
      </c>
      <c r="D79" s="174"/>
      <c r="E79" s="67"/>
      <c r="F79" s="261">
        <v>53</v>
      </c>
      <c r="G79" s="67" t="s">
        <v>458</v>
      </c>
      <c r="H79" s="67"/>
    </row>
    <row r="80" spans="1:8" ht="12.75">
      <c r="A80" s="22">
        <v>37</v>
      </c>
      <c r="B80" s="66">
        <v>55</v>
      </c>
      <c r="C80" s="46" t="s">
        <v>772</v>
      </c>
      <c r="D80" s="174"/>
      <c r="E80" s="67" t="s">
        <v>462</v>
      </c>
      <c r="F80" s="261"/>
      <c r="G80" s="67" t="s">
        <v>771</v>
      </c>
      <c r="H80" s="67"/>
    </row>
    <row r="81" spans="2:8" ht="12.75">
      <c r="B81" s="66">
        <v>116</v>
      </c>
      <c r="C81" s="46" t="s">
        <v>770</v>
      </c>
      <c r="D81" s="261">
        <v>19</v>
      </c>
      <c r="E81" s="67" t="s">
        <v>420</v>
      </c>
      <c r="F81" s="67"/>
      <c r="G81" s="67"/>
      <c r="H81" s="67"/>
    </row>
    <row r="82" spans="1:8" ht="12.75">
      <c r="A82" s="22">
        <v>38</v>
      </c>
      <c r="B82" s="66">
        <v>180</v>
      </c>
      <c r="C82" s="46" t="s">
        <v>769</v>
      </c>
      <c r="D82" s="261"/>
      <c r="E82" s="67" t="s">
        <v>768</v>
      </c>
      <c r="F82" s="67" t="s">
        <v>462</v>
      </c>
      <c r="G82" s="67"/>
      <c r="H82" s="67"/>
    </row>
    <row r="83" spans="2:8" ht="12.75">
      <c r="B83" s="66">
        <v>72</v>
      </c>
      <c r="C83" s="46" t="s">
        <v>767</v>
      </c>
      <c r="D83" s="174"/>
      <c r="E83" s="175">
        <v>42</v>
      </c>
      <c r="F83" s="67" t="s">
        <v>420</v>
      </c>
      <c r="G83" s="67"/>
      <c r="H83" s="67"/>
    </row>
    <row r="84" spans="1:8" ht="12.75">
      <c r="A84" s="22">
        <v>39</v>
      </c>
      <c r="B84" s="66">
        <v>103</v>
      </c>
      <c r="C84" s="46" t="s">
        <v>766</v>
      </c>
      <c r="D84" s="174"/>
      <c r="E84" s="67" t="s">
        <v>403</v>
      </c>
      <c r="F84" s="67" t="s">
        <v>765</v>
      </c>
      <c r="G84" s="67"/>
      <c r="H84" s="67"/>
    </row>
    <row r="85" spans="2:8" ht="12.75">
      <c r="B85" s="66">
        <v>76</v>
      </c>
      <c r="C85" s="46" t="s">
        <v>764</v>
      </c>
      <c r="D85" s="261">
        <v>20</v>
      </c>
      <c r="E85" s="67" t="s">
        <v>399</v>
      </c>
      <c r="F85" s="67"/>
      <c r="G85" s="67"/>
      <c r="H85" s="54"/>
    </row>
    <row r="86" spans="1:8" ht="12.75">
      <c r="A86" s="22">
        <v>40</v>
      </c>
      <c r="B86" s="66">
        <v>81</v>
      </c>
      <c r="C86" s="46" t="s">
        <v>763</v>
      </c>
      <c r="D86" s="261"/>
      <c r="E86" s="67" t="s">
        <v>762</v>
      </c>
      <c r="F86" s="67"/>
      <c r="G86" s="67"/>
      <c r="H86" s="54" t="s">
        <v>465</v>
      </c>
    </row>
    <row r="87" spans="2:8" ht="12.75">
      <c r="B87" s="66">
        <v>44</v>
      </c>
      <c r="C87" s="46" t="s">
        <v>761</v>
      </c>
      <c r="D87" s="174"/>
      <c r="E87" s="67"/>
      <c r="F87" s="67"/>
      <c r="G87" s="261">
        <v>59</v>
      </c>
      <c r="H87" s="54" t="s">
        <v>458</v>
      </c>
    </row>
    <row r="88" spans="1:9" ht="12.75">
      <c r="A88" s="22">
        <v>41</v>
      </c>
      <c r="B88" s="66">
        <v>58</v>
      </c>
      <c r="C88" s="46" t="s">
        <v>760</v>
      </c>
      <c r="D88" s="174"/>
      <c r="E88" s="67" t="s">
        <v>429</v>
      </c>
      <c r="F88" s="67"/>
      <c r="G88" s="261"/>
      <c r="H88" s="54" t="s">
        <v>759</v>
      </c>
      <c r="I88" s="67"/>
    </row>
    <row r="89" spans="2:9" ht="12.75">
      <c r="B89" s="66" t="s">
        <v>78</v>
      </c>
      <c r="C89" s="46" t="s">
        <v>79</v>
      </c>
      <c r="D89" s="261">
        <v>21</v>
      </c>
      <c r="E89" s="67" t="s">
        <v>417</v>
      </c>
      <c r="F89" s="67"/>
      <c r="G89" s="67"/>
      <c r="H89" s="67"/>
      <c r="I89" s="67"/>
    </row>
    <row r="90" spans="1:9" ht="12.75">
      <c r="A90" s="22">
        <v>42</v>
      </c>
      <c r="B90" s="66" t="s">
        <v>78</v>
      </c>
      <c r="C90" s="46" t="s">
        <v>79</v>
      </c>
      <c r="D90" s="261"/>
      <c r="E90" s="67" t="s">
        <v>78</v>
      </c>
      <c r="F90" s="67" t="s">
        <v>429</v>
      </c>
      <c r="G90" s="67"/>
      <c r="H90" s="67"/>
      <c r="I90" s="67"/>
    </row>
    <row r="91" spans="2:9" ht="12.75">
      <c r="B91" s="66">
        <v>46</v>
      </c>
      <c r="C91" s="46" t="s">
        <v>758</v>
      </c>
      <c r="D91" s="174"/>
      <c r="E91" s="175">
        <v>43</v>
      </c>
      <c r="F91" s="67" t="s">
        <v>417</v>
      </c>
      <c r="G91" s="67"/>
      <c r="H91" s="67"/>
      <c r="I91" s="67"/>
    </row>
    <row r="92" spans="1:9" ht="12.75">
      <c r="A92" s="22">
        <v>43</v>
      </c>
      <c r="B92" s="66">
        <v>184</v>
      </c>
      <c r="C92" s="46" t="s">
        <v>757</v>
      </c>
      <c r="D92" s="174"/>
      <c r="E92" s="67" t="s">
        <v>397</v>
      </c>
      <c r="F92" s="67" t="s">
        <v>756</v>
      </c>
      <c r="G92" s="67"/>
      <c r="H92" s="67"/>
      <c r="I92" s="67"/>
    </row>
    <row r="93" spans="2:9" ht="12.75">
      <c r="B93" s="66">
        <v>82</v>
      </c>
      <c r="C93" s="46" t="s">
        <v>755</v>
      </c>
      <c r="D93" s="261">
        <v>22</v>
      </c>
      <c r="E93" s="67" t="s">
        <v>351</v>
      </c>
      <c r="F93" s="67"/>
      <c r="G93" s="67"/>
      <c r="H93" s="67"/>
      <c r="I93" s="67"/>
    </row>
    <row r="94" spans="1:9" ht="12.75">
      <c r="A94" s="22">
        <v>44</v>
      </c>
      <c r="B94" s="66">
        <v>181</v>
      </c>
      <c r="C94" s="46" t="s">
        <v>754</v>
      </c>
      <c r="D94" s="261"/>
      <c r="E94" s="67" t="s">
        <v>753</v>
      </c>
      <c r="F94" s="67"/>
      <c r="G94" s="67" t="s">
        <v>429</v>
      </c>
      <c r="H94" s="67"/>
      <c r="I94" s="67"/>
    </row>
    <row r="95" spans="2:9" ht="12.75">
      <c r="B95" s="66">
        <v>21</v>
      </c>
      <c r="C95" s="46" t="s">
        <v>752</v>
      </c>
      <c r="D95" s="174"/>
      <c r="E95" s="67"/>
      <c r="F95" s="261">
        <v>54</v>
      </c>
      <c r="G95" s="67" t="s">
        <v>417</v>
      </c>
      <c r="H95" s="67"/>
      <c r="I95" s="67"/>
    </row>
    <row r="96" spans="1:9" ht="12.75">
      <c r="A96" s="22">
        <v>45</v>
      </c>
      <c r="B96" s="66">
        <v>40</v>
      </c>
      <c r="C96" s="46" t="s">
        <v>751</v>
      </c>
      <c r="D96" s="174"/>
      <c r="E96" s="67" t="s">
        <v>455</v>
      </c>
      <c r="F96" s="261"/>
      <c r="G96" s="67" t="s">
        <v>750</v>
      </c>
      <c r="H96" s="67"/>
      <c r="I96" s="67"/>
    </row>
    <row r="97" spans="2:9" ht="12.75">
      <c r="B97" s="66">
        <v>27</v>
      </c>
      <c r="C97" s="46" t="s">
        <v>749</v>
      </c>
      <c r="D97" s="261">
        <v>23</v>
      </c>
      <c r="E97" s="67" t="s">
        <v>434</v>
      </c>
      <c r="F97" s="67"/>
      <c r="G97" s="67"/>
      <c r="H97" s="67"/>
      <c r="I97" s="67"/>
    </row>
    <row r="98" spans="1:9" ht="12.75">
      <c r="A98" s="22">
        <v>46</v>
      </c>
      <c r="B98" s="66">
        <v>30</v>
      </c>
      <c r="C98" s="46" t="s">
        <v>748</v>
      </c>
      <c r="D98" s="261"/>
      <c r="E98" s="67" t="s">
        <v>747</v>
      </c>
      <c r="F98" s="67" t="s">
        <v>464</v>
      </c>
      <c r="G98" s="67"/>
      <c r="H98" s="67"/>
      <c r="I98" s="67"/>
    </row>
    <row r="99" spans="2:9" ht="12.75">
      <c r="B99" s="66" t="s">
        <v>78</v>
      </c>
      <c r="C99" s="46" t="s">
        <v>79</v>
      </c>
      <c r="D99" s="174"/>
      <c r="E99" s="175">
        <v>44</v>
      </c>
      <c r="F99" s="67" t="s">
        <v>443</v>
      </c>
      <c r="G99" s="67"/>
      <c r="H99" s="67"/>
      <c r="I99" s="67"/>
    </row>
    <row r="100" spans="1:9" ht="12.75">
      <c r="A100" s="22">
        <v>47</v>
      </c>
      <c r="B100" s="66" t="s">
        <v>78</v>
      </c>
      <c r="C100" s="46" t="s">
        <v>79</v>
      </c>
      <c r="D100" s="174"/>
      <c r="E100" s="67" t="s">
        <v>464</v>
      </c>
      <c r="F100" s="67" t="s">
        <v>746</v>
      </c>
      <c r="G100" s="67"/>
      <c r="H100" s="67"/>
      <c r="I100" s="67"/>
    </row>
    <row r="101" spans="2:9" ht="12.75">
      <c r="B101" s="66">
        <v>11</v>
      </c>
      <c r="C101" s="46" t="s">
        <v>745</v>
      </c>
      <c r="D101" s="261">
        <v>24</v>
      </c>
      <c r="E101" s="67" t="s">
        <v>443</v>
      </c>
      <c r="F101" s="67"/>
      <c r="G101" s="67"/>
      <c r="H101" s="67"/>
      <c r="I101" s="67"/>
    </row>
    <row r="102" spans="1:9" ht="12.75">
      <c r="A102" s="22">
        <v>48</v>
      </c>
      <c r="B102" s="66">
        <v>32</v>
      </c>
      <c r="C102" s="46" t="s">
        <v>744</v>
      </c>
      <c r="D102" s="261"/>
      <c r="E102" s="54" t="s">
        <v>78</v>
      </c>
      <c r="F102" s="67"/>
      <c r="G102" s="67"/>
      <c r="H102" s="161" t="s">
        <v>465</v>
      </c>
      <c r="I102" s="67"/>
    </row>
    <row r="103" spans="2:9" ht="12.75">
      <c r="B103" s="66">
        <v>6</v>
      </c>
      <c r="C103" s="46" t="s">
        <v>743</v>
      </c>
      <c r="D103" s="174"/>
      <c r="E103" s="54"/>
      <c r="F103" s="67"/>
      <c r="G103" s="261">
        <v>62</v>
      </c>
      <c r="H103" s="176" t="s">
        <v>458</v>
      </c>
      <c r="I103" s="67"/>
    </row>
    <row r="104" spans="1:9" ht="12.75">
      <c r="A104" s="22">
        <v>49</v>
      </c>
      <c r="B104" s="66">
        <v>25</v>
      </c>
      <c r="C104" s="46" t="s">
        <v>742</v>
      </c>
      <c r="D104" s="174"/>
      <c r="E104" s="67" t="s">
        <v>469</v>
      </c>
      <c r="F104" s="67"/>
      <c r="G104" s="261"/>
      <c r="H104" s="67" t="s">
        <v>741</v>
      </c>
      <c r="I104" s="67"/>
    </row>
    <row r="105" spans="2:9" ht="12.75">
      <c r="B105" s="66" t="s">
        <v>78</v>
      </c>
      <c r="C105" s="46" t="s">
        <v>79</v>
      </c>
      <c r="D105" s="261">
        <v>25</v>
      </c>
      <c r="E105" s="67" t="s">
        <v>451</v>
      </c>
      <c r="F105" s="67"/>
      <c r="G105" s="67"/>
      <c r="H105" s="67"/>
      <c r="I105" s="67"/>
    </row>
    <row r="106" spans="1:9" ht="12.75">
      <c r="A106" s="22">
        <v>50</v>
      </c>
      <c r="B106" s="66" t="s">
        <v>78</v>
      </c>
      <c r="C106" s="46" t="s">
        <v>79</v>
      </c>
      <c r="D106" s="261"/>
      <c r="E106" s="54" t="s">
        <v>78</v>
      </c>
      <c r="F106" s="67" t="s">
        <v>439</v>
      </c>
      <c r="G106" s="67"/>
      <c r="H106" s="67"/>
      <c r="I106" s="67"/>
    </row>
    <row r="107" spans="2:9" ht="12.75">
      <c r="B107" s="66">
        <v>35</v>
      </c>
      <c r="C107" s="46" t="s">
        <v>740</v>
      </c>
      <c r="D107" s="174"/>
      <c r="E107" s="175">
        <v>45</v>
      </c>
      <c r="F107" s="67" t="s">
        <v>377</v>
      </c>
      <c r="G107" s="67"/>
      <c r="H107" s="67"/>
      <c r="I107" s="67"/>
    </row>
    <row r="108" spans="1:9" ht="12.75">
      <c r="A108" s="22">
        <v>51</v>
      </c>
      <c r="B108" s="66">
        <v>108</v>
      </c>
      <c r="C108" s="46" t="s">
        <v>739</v>
      </c>
      <c r="D108" s="174"/>
      <c r="E108" s="67" t="s">
        <v>439</v>
      </c>
      <c r="F108" s="67" t="s">
        <v>738</v>
      </c>
      <c r="G108" s="67"/>
      <c r="H108" s="67"/>
      <c r="I108" s="67"/>
    </row>
    <row r="109" spans="2:9" ht="12.75">
      <c r="B109" s="66">
        <v>62</v>
      </c>
      <c r="C109" s="46" t="s">
        <v>737</v>
      </c>
      <c r="D109" s="261">
        <v>26</v>
      </c>
      <c r="E109" s="67" t="s">
        <v>377</v>
      </c>
      <c r="F109" s="67"/>
      <c r="G109" s="67"/>
      <c r="H109" s="67"/>
      <c r="I109" s="67"/>
    </row>
    <row r="110" spans="1:9" ht="12.75">
      <c r="A110" s="22">
        <v>52</v>
      </c>
      <c r="B110" s="66">
        <v>142</v>
      </c>
      <c r="C110" s="46" t="s">
        <v>736</v>
      </c>
      <c r="D110" s="261"/>
      <c r="E110" s="54" t="s">
        <v>735</v>
      </c>
      <c r="F110" s="67"/>
      <c r="G110" s="67" t="s">
        <v>457</v>
      </c>
      <c r="H110" s="67"/>
      <c r="I110" s="67"/>
    </row>
    <row r="111" spans="2:9" ht="12.75">
      <c r="B111" s="66">
        <v>49</v>
      </c>
      <c r="C111" s="46" t="s">
        <v>734</v>
      </c>
      <c r="D111" s="174"/>
      <c r="E111" s="54"/>
      <c r="F111" s="261">
        <v>55</v>
      </c>
      <c r="G111" s="67" t="s">
        <v>438</v>
      </c>
      <c r="H111" s="67"/>
      <c r="I111" s="67"/>
    </row>
    <row r="112" spans="1:9" ht="12.75">
      <c r="A112" s="22">
        <v>53</v>
      </c>
      <c r="B112" s="66">
        <v>93</v>
      </c>
      <c r="C112" s="46" t="s">
        <v>733</v>
      </c>
      <c r="D112" s="174"/>
      <c r="E112" s="67" t="s">
        <v>457</v>
      </c>
      <c r="F112" s="261"/>
      <c r="G112" s="67" t="s">
        <v>732</v>
      </c>
      <c r="H112" s="67"/>
      <c r="I112" s="67"/>
    </row>
    <row r="113" spans="2:9" ht="12.75">
      <c r="B113" s="66">
        <v>19</v>
      </c>
      <c r="C113" s="46" t="s">
        <v>731</v>
      </c>
      <c r="D113" s="261">
        <v>27</v>
      </c>
      <c r="E113" s="67" t="s">
        <v>438</v>
      </c>
      <c r="F113" s="67"/>
      <c r="G113" s="67"/>
      <c r="H113" s="67"/>
      <c r="I113" s="67"/>
    </row>
    <row r="114" spans="1:9" ht="12.75">
      <c r="A114" s="22">
        <v>54</v>
      </c>
      <c r="B114" s="66">
        <v>36</v>
      </c>
      <c r="C114" s="46" t="s">
        <v>730</v>
      </c>
      <c r="D114" s="261"/>
      <c r="E114" s="54" t="s">
        <v>729</v>
      </c>
      <c r="F114" s="67" t="s">
        <v>457</v>
      </c>
      <c r="G114" s="67"/>
      <c r="H114" s="67"/>
      <c r="I114" s="67"/>
    </row>
    <row r="115" spans="2:9" ht="12.75">
      <c r="B115" s="66" t="s">
        <v>78</v>
      </c>
      <c r="C115" s="46" t="s">
        <v>79</v>
      </c>
      <c r="D115" s="174"/>
      <c r="E115" s="175">
        <v>46</v>
      </c>
      <c r="F115" s="67" t="s">
        <v>438</v>
      </c>
      <c r="G115" s="67"/>
      <c r="H115" s="67"/>
      <c r="I115" s="67"/>
    </row>
    <row r="116" spans="1:9" ht="12.75">
      <c r="A116" s="22">
        <v>55</v>
      </c>
      <c r="B116" s="66" t="s">
        <v>78</v>
      </c>
      <c r="C116" s="46" t="s">
        <v>79</v>
      </c>
      <c r="D116" s="174"/>
      <c r="E116" s="67" t="s">
        <v>355</v>
      </c>
      <c r="F116" s="67" t="s">
        <v>728</v>
      </c>
      <c r="G116" s="67"/>
      <c r="H116" s="67"/>
      <c r="I116" s="67"/>
    </row>
    <row r="117" spans="2:9" ht="12.75">
      <c r="B117" s="66">
        <v>178</v>
      </c>
      <c r="C117" s="46" t="s">
        <v>727</v>
      </c>
      <c r="D117" s="261">
        <v>28</v>
      </c>
      <c r="E117" s="67" t="s">
        <v>354</v>
      </c>
      <c r="F117" s="67"/>
      <c r="G117" s="67"/>
      <c r="H117" s="67"/>
      <c r="I117" s="67"/>
    </row>
    <row r="118" spans="1:9" ht="12.75">
      <c r="A118" s="22">
        <v>56</v>
      </c>
      <c r="B118" s="66">
        <v>179</v>
      </c>
      <c r="C118" s="46" t="s">
        <v>726</v>
      </c>
      <c r="D118" s="261"/>
      <c r="E118" s="54" t="s">
        <v>78</v>
      </c>
      <c r="F118" s="67"/>
      <c r="G118" s="67"/>
      <c r="H118" s="54" t="s">
        <v>457</v>
      </c>
      <c r="I118" s="67"/>
    </row>
    <row r="119" spans="2:9" ht="12.75">
      <c r="B119" s="66">
        <v>95</v>
      </c>
      <c r="C119" s="46" t="s">
        <v>725</v>
      </c>
      <c r="D119" s="174"/>
      <c r="E119" s="54"/>
      <c r="F119" s="67"/>
      <c r="G119" s="261">
        <v>60</v>
      </c>
      <c r="H119" s="54" t="s">
        <v>438</v>
      </c>
      <c r="I119" s="67"/>
    </row>
    <row r="120" spans="1:8" ht="12.75">
      <c r="A120" s="22">
        <v>57</v>
      </c>
      <c r="B120" s="66">
        <v>138</v>
      </c>
      <c r="C120" s="46" t="s">
        <v>724</v>
      </c>
      <c r="D120" s="174"/>
      <c r="E120" s="67" t="s">
        <v>422</v>
      </c>
      <c r="F120" s="67"/>
      <c r="G120" s="261"/>
      <c r="H120" s="67" t="s">
        <v>723</v>
      </c>
    </row>
    <row r="121" spans="2:8" ht="12.75">
      <c r="B121" s="66">
        <v>51</v>
      </c>
      <c r="C121" s="46" t="s">
        <v>722</v>
      </c>
      <c r="D121" s="261">
        <v>29</v>
      </c>
      <c r="E121" s="67" t="s">
        <v>384</v>
      </c>
      <c r="F121" s="67"/>
      <c r="G121" s="67"/>
      <c r="H121" s="67"/>
    </row>
    <row r="122" spans="1:8" ht="12.75">
      <c r="A122" s="22">
        <v>58</v>
      </c>
      <c r="B122" s="66">
        <v>94</v>
      </c>
      <c r="C122" s="46" t="s">
        <v>721</v>
      </c>
      <c r="D122" s="261"/>
      <c r="E122" s="54" t="s">
        <v>720</v>
      </c>
      <c r="F122" s="67" t="s">
        <v>422</v>
      </c>
      <c r="G122" s="67"/>
      <c r="H122" s="67"/>
    </row>
    <row r="123" spans="2:8" ht="12.75">
      <c r="B123" s="66">
        <v>132</v>
      </c>
      <c r="C123" s="46" t="s">
        <v>719</v>
      </c>
      <c r="D123" s="174"/>
      <c r="E123" s="175">
        <v>47</v>
      </c>
      <c r="F123" s="67" t="s">
        <v>384</v>
      </c>
      <c r="G123" s="67"/>
      <c r="H123" s="67"/>
    </row>
    <row r="124" spans="1:8" ht="12.75">
      <c r="A124" s="22">
        <v>59</v>
      </c>
      <c r="B124" s="66">
        <v>187</v>
      </c>
      <c r="C124" s="46" t="s">
        <v>718</v>
      </c>
      <c r="D124" s="174"/>
      <c r="E124" s="67" t="s">
        <v>365</v>
      </c>
      <c r="F124" s="67" t="s">
        <v>717</v>
      </c>
      <c r="G124" s="67"/>
      <c r="H124" s="67"/>
    </row>
    <row r="125" spans="2:8" ht="12.75">
      <c r="B125" s="66">
        <v>67</v>
      </c>
      <c r="C125" s="46" t="s">
        <v>716</v>
      </c>
      <c r="D125" s="261">
        <v>30</v>
      </c>
      <c r="E125" s="67" t="s">
        <v>346</v>
      </c>
      <c r="F125" s="67"/>
      <c r="G125" s="67"/>
      <c r="H125" s="67"/>
    </row>
    <row r="126" spans="1:8" ht="12.75">
      <c r="A126" s="22">
        <v>60</v>
      </c>
      <c r="B126" s="66">
        <v>131</v>
      </c>
      <c r="C126" s="46" t="s">
        <v>715</v>
      </c>
      <c r="D126" s="261"/>
      <c r="E126" s="54" t="s">
        <v>714</v>
      </c>
      <c r="F126" s="67"/>
      <c r="G126" s="67" t="s">
        <v>471</v>
      </c>
      <c r="H126" s="67"/>
    </row>
    <row r="127" spans="2:8" ht="12.75">
      <c r="B127" s="66">
        <v>70</v>
      </c>
      <c r="C127" s="46" t="s">
        <v>713</v>
      </c>
      <c r="D127" s="174"/>
      <c r="E127" s="54"/>
      <c r="F127" s="261">
        <v>56</v>
      </c>
      <c r="G127" s="67" t="s">
        <v>452</v>
      </c>
      <c r="H127" s="67"/>
    </row>
    <row r="128" spans="1:8" ht="12.75">
      <c r="A128" s="22">
        <v>61</v>
      </c>
      <c r="B128" s="66">
        <v>192</v>
      </c>
      <c r="C128" s="46" t="s">
        <v>712</v>
      </c>
      <c r="D128" s="174"/>
      <c r="E128" s="67" t="s">
        <v>374</v>
      </c>
      <c r="F128" s="261"/>
      <c r="G128" s="67" t="s">
        <v>711</v>
      </c>
      <c r="H128" s="67"/>
    </row>
    <row r="129" spans="2:8" ht="12.75">
      <c r="B129" s="66">
        <v>114</v>
      </c>
      <c r="C129" s="46" t="s">
        <v>710</v>
      </c>
      <c r="D129" s="261">
        <v>31</v>
      </c>
      <c r="E129" s="67" t="s">
        <v>336</v>
      </c>
      <c r="F129" s="67"/>
      <c r="G129" s="67"/>
      <c r="H129" s="67"/>
    </row>
    <row r="130" spans="1:8" ht="12.75">
      <c r="A130" s="22">
        <v>62</v>
      </c>
      <c r="B130" s="66">
        <v>195</v>
      </c>
      <c r="C130" s="46" t="s">
        <v>709</v>
      </c>
      <c r="D130" s="261"/>
      <c r="E130" s="54" t="s">
        <v>708</v>
      </c>
      <c r="F130" s="67" t="s">
        <v>471</v>
      </c>
      <c r="G130" s="67"/>
      <c r="H130" s="67"/>
    </row>
    <row r="131" spans="2:8" ht="12.75">
      <c r="B131" s="66" t="s">
        <v>78</v>
      </c>
      <c r="C131" s="46" t="s">
        <v>79</v>
      </c>
      <c r="D131" s="174"/>
      <c r="E131" s="175">
        <v>48</v>
      </c>
      <c r="F131" s="67" t="s">
        <v>452</v>
      </c>
      <c r="G131" s="67"/>
      <c r="H131" s="67"/>
    </row>
    <row r="132" spans="1:8" ht="12.75">
      <c r="A132" s="22">
        <v>63</v>
      </c>
      <c r="B132" s="66" t="s">
        <v>78</v>
      </c>
      <c r="C132" s="46" t="s">
        <v>79</v>
      </c>
      <c r="D132" s="174"/>
      <c r="E132" s="67" t="s">
        <v>471</v>
      </c>
      <c r="F132" s="67" t="s">
        <v>707</v>
      </c>
      <c r="G132" s="67"/>
      <c r="H132" s="67"/>
    </row>
    <row r="133" spans="2:8" ht="12.75">
      <c r="B133" s="66">
        <v>2</v>
      </c>
      <c r="C133" s="46" t="s">
        <v>706</v>
      </c>
      <c r="D133" s="261">
        <v>32</v>
      </c>
      <c r="E133" s="67" t="s">
        <v>452</v>
      </c>
      <c r="F133" s="67"/>
      <c r="G133" s="67"/>
      <c r="H133" s="67"/>
    </row>
    <row r="134" spans="1:8" ht="12.75">
      <c r="A134" s="22">
        <v>64</v>
      </c>
      <c r="B134" s="66">
        <v>24</v>
      </c>
      <c r="C134" s="46" t="s">
        <v>705</v>
      </c>
      <c r="D134" s="261"/>
      <c r="E134" s="67" t="s">
        <v>78</v>
      </c>
      <c r="F134" s="67"/>
      <c r="G134" s="67"/>
      <c r="H134" s="67"/>
    </row>
    <row r="135" spans="1:9" ht="25.5">
      <c r="A135" s="262" t="s">
        <v>73</v>
      </c>
      <c r="B135" s="262"/>
      <c r="C135" s="262"/>
      <c r="D135" s="262"/>
      <c r="E135" s="262"/>
      <c r="F135" s="262"/>
      <c r="G135" s="262"/>
      <c r="H135" s="262"/>
      <c r="I135" s="177"/>
    </row>
    <row r="136" spans="2:8" ht="18.75">
      <c r="B136" s="170"/>
      <c r="D136" s="192" t="s">
        <v>704</v>
      </c>
      <c r="E136" s="192"/>
      <c r="F136" s="192"/>
      <c r="H136" s="120" t="s">
        <v>75</v>
      </c>
    </row>
    <row r="137" spans="2:8" ht="18.75">
      <c r="B137" s="170"/>
      <c r="F137" s="171"/>
      <c r="H137" s="178" t="s">
        <v>703</v>
      </c>
    </row>
    <row r="138" spans="2:4" ht="13.5">
      <c r="B138" s="66" t="s">
        <v>78</v>
      </c>
      <c r="C138" s="25" t="s">
        <v>78</v>
      </c>
      <c r="D138" s="170"/>
    </row>
    <row r="139" spans="1:8" ht="12.75">
      <c r="A139" s="22" t="s">
        <v>78</v>
      </c>
      <c r="B139" s="66" t="s">
        <v>78</v>
      </c>
      <c r="C139" s="46" t="s">
        <v>78</v>
      </c>
      <c r="D139" s="68"/>
      <c r="E139" s="67" t="s">
        <v>78</v>
      </c>
      <c r="F139" s="67"/>
      <c r="G139" s="67"/>
      <c r="H139" s="67"/>
    </row>
    <row r="140" spans="2:8" ht="12.75">
      <c r="B140" s="66" t="s">
        <v>78</v>
      </c>
      <c r="C140" s="46" t="s">
        <v>466</v>
      </c>
      <c r="D140" s="263" t="s">
        <v>78</v>
      </c>
      <c r="E140" s="67" t="s">
        <v>78</v>
      </c>
      <c r="F140" s="67"/>
      <c r="G140" s="67"/>
      <c r="H140" s="67"/>
    </row>
    <row r="141" spans="1:8" ht="12.75">
      <c r="A141" s="22">
        <v>61</v>
      </c>
      <c r="B141" s="66" t="s">
        <v>78</v>
      </c>
      <c r="C141" s="46" t="s">
        <v>459</v>
      </c>
      <c r="D141" s="263"/>
      <c r="E141" s="159" t="s">
        <v>78</v>
      </c>
      <c r="F141" s="67" t="s">
        <v>78</v>
      </c>
      <c r="G141" s="67"/>
      <c r="H141" s="67"/>
    </row>
    <row r="142" spans="2:8" ht="12.75">
      <c r="B142" s="66" t="s">
        <v>78</v>
      </c>
      <c r="C142" s="46" t="s">
        <v>78</v>
      </c>
      <c r="D142" s="174"/>
      <c r="E142" s="60" t="s">
        <v>78</v>
      </c>
      <c r="F142" s="67" t="s">
        <v>78</v>
      </c>
      <c r="G142" s="67"/>
      <c r="H142" s="67"/>
    </row>
    <row r="143" spans="1:8" ht="12.75">
      <c r="A143" s="22" t="s">
        <v>78</v>
      </c>
      <c r="B143" s="66" t="s">
        <v>78</v>
      </c>
      <c r="C143" s="46" t="s">
        <v>78</v>
      </c>
      <c r="D143" s="174"/>
      <c r="E143" s="159" t="s">
        <v>78</v>
      </c>
      <c r="F143" s="159" t="s">
        <v>78</v>
      </c>
      <c r="G143" s="67"/>
      <c r="H143" s="67"/>
    </row>
    <row r="144" spans="2:8" ht="12.75">
      <c r="B144" s="66" t="s">
        <v>78</v>
      </c>
      <c r="C144" s="46" t="s">
        <v>78</v>
      </c>
      <c r="D144" s="261" t="s">
        <v>78</v>
      </c>
      <c r="E144" s="159" t="s">
        <v>78</v>
      </c>
      <c r="F144" s="159"/>
      <c r="G144" s="67"/>
      <c r="H144" s="67"/>
    </row>
    <row r="145" spans="1:9" ht="12.75">
      <c r="A145" s="22" t="s">
        <v>78</v>
      </c>
      <c r="B145" s="66" t="s">
        <v>78</v>
      </c>
      <c r="C145" s="46" t="s">
        <v>78</v>
      </c>
      <c r="D145" s="261"/>
      <c r="E145" s="159" t="s">
        <v>466</v>
      </c>
      <c r="F145" s="67"/>
      <c r="G145" s="67" t="s">
        <v>78</v>
      </c>
      <c r="H145" s="67"/>
      <c r="I145" s="20"/>
    </row>
    <row r="146" spans="2:9" ht="12.75">
      <c r="B146" s="66" t="s">
        <v>78</v>
      </c>
      <c r="C146" s="46" t="s">
        <v>78</v>
      </c>
      <c r="D146" s="174">
        <v>63</v>
      </c>
      <c r="E146" s="159" t="s">
        <v>459</v>
      </c>
      <c r="F146" s="261" t="s">
        <v>78</v>
      </c>
      <c r="G146" s="67" t="s">
        <v>78</v>
      </c>
      <c r="H146" s="67"/>
      <c r="I146" s="20"/>
    </row>
    <row r="147" spans="1:9" ht="12.75">
      <c r="A147" s="22" t="s">
        <v>78</v>
      </c>
      <c r="B147" s="66" t="s">
        <v>78</v>
      </c>
      <c r="C147" s="46" t="s">
        <v>78</v>
      </c>
      <c r="D147" s="174"/>
      <c r="E147" s="159" t="s">
        <v>702</v>
      </c>
      <c r="F147" s="261"/>
      <c r="G147" s="67" t="s">
        <v>78</v>
      </c>
      <c r="H147" s="67"/>
      <c r="I147" s="20"/>
    </row>
    <row r="148" spans="2:9" ht="12.75">
      <c r="B148" s="66" t="s">
        <v>78</v>
      </c>
      <c r="C148" s="46" t="s">
        <v>78</v>
      </c>
      <c r="D148" s="261" t="s">
        <v>78</v>
      </c>
      <c r="E148" s="159" t="s">
        <v>78</v>
      </c>
      <c r="F148" s="67"/>
      <c r="G148" s="67"/>
      <c r="H148" s="67"/>
      <c r="I148" s="20"/>
    </row>
    <row r="149" spans="1:9" ht="12.75">
      <c r="A149" s="22" t="s">
        <v>78</v>
      </c>
      <c r="B149" s="66" t="s">
        <v>78</v>
      </c>
      <c r="C149" s="46" t="s">
        <v>78</v>
      </c>
      <c r="D149" s="261"/>
      <c r="E149" s="67" t="s">
        <v>78</v>
      </c>
      <c r="F149" s="67" t="s">
        <v>78</v>
      </c>
      <c r="G149" s="67"/>
      <c r="H149" s="67"/>
      <c r="I149" s="20"/>
    </row>
    <row r="150" spans="2:9" ht="12.75">
      <c r="B150" s="66" t="s">
        <v>78</v>
      </c>
      <c r="C150" s="46" t="s">
        <v>465</v>
      </c>
      <c r="D150" s="174"/>
      <c r="E150" s="60" t="s">
        <v>78</v>
      </c>
      <c r="F150" s="67" t="s">
        <v>78</v>
      </c>
      <c r="G150" s="67"/>
      <c r="H150" s="67"/>
      <c r="I150" s="20"/>
    </row>
    <row r="151" spans="1:9" ht="12.75">
      <c r="A151" s="22">
        <v>62</v>
      </c>
      <c r="B151" s="66"/>
      <c r="C151" s="46" t="s">
        <v>458</v>
      </c>
      <c r="D151" s="174"/>
      <c r="E151" s="67" t="s">
        <v>78</v>
      </c>
      <c r="F151" s="67" t="s">
        <v>78</v>
      </c>
      <c r="G151" s="67"/>
      <c r="H151" s="67"/>
      <c r="I151" s="20"/>
    </row>
    <row r="152" spans="2:9" ht="12.75">
      <c r="B152" s="66" t="s">
        <v>78</v>
      </c>
      <c r="C152" s="46" t="s">
        <v>78</v>
      </c>
      <c r="D152" s="261" t="s">
        <v>78</v>
      </c>
      <c r="E152" s="67" t="s">
        <v>78</v>
      </c>
      <c r="F152" s="67"/>
      <c r="G152" s="67"/>
      <c r="H152" s="54"/>
      <c r="I152" s="20"/>
    </row>
    <row r="153" spans="1:9" ht="12.75">
      <c r="A153" s="22" t="s">
        <v>78</v>
      </c>
      <c r="B153" s="66" t="s">
        <v>78</v>
      </c>
      <c r="C153" s="46" t="s">
        <v>78</v>
      </c>
      <c r="D153" s="261"/>
      <c r="E153" s="67" t="s">
        <v>78</v>
      </c>
      <c r="F153" s="67"/>
      <c r="G153" s="67"/>
      <c r="H153" s="54" t="s">
        <v>78</v>
      </c>
      <c r="I153" s="20"/>
    </row>
  </sheetData>
  <sheetProtection sheet="1" formatCells="0" formatColumns="0" formatRows="0" insertColumns="0" insertRows="0" deleteColumns="0" deleteRows="0" sort="0" autoFilter="0" pivotTables="0"/>
  <mergeCells count="58">
    <mergeCell ref="D22:D23"/>
    <mergeCell ref="D26:D27"/>
    <mergeCell ref="F28:F29"/>
    <mergeCell ref="F60:F61"/>
    <mergeCell ref="A1:H1"/>
    <mergeCell ref="D2:F2"/>
    <mergeCell ref="G3:H3"/>
    <mergeCell ref="D6:D7"/>
    <mergeCell ref="D10:D11"/>
    <mergeCell ref="F12:F13"/>
    <mergeCell ref="D14:D15"/>
    <mergeCell ref="D18:D19"/>
    <mergeCell ref="G20:G21"/>
    <mergeCell ref="F44:F45"/>
    <mergeCell ref="D46:D47"/>
    <mergeCell ref="D50:D51"/>
    <mergeCell ref="G52:G53"/>
    <mergeCell ref="D54:D55"/>
    <mergeCell ref="D58:D59"/>
    <mergeCell ref="D81:D82"/>
    <mergeCell ref="D85:D86"/>
    <mergeCell ref="G87:G88"/>
    <mergeCell ref="D89:D90"/>
    <mergeCell ref="D93:D94"/>
    <mergeCell ref="D30:D31"/>
    <mergeCell ref="D34:D35"/>
    <mergeCell ref="G36:G37"/>
    <mergeCell ref="D38:D39"/>
    <mergeCell ref="D42:D43"/>
    <mergeCell ref="G119:G120"/>
    <mergeCell ref="D121:D122"/>
    <mergeCell ref="D125:D126"/>
    <mergeCell ref="D62:D63"/>
    <mergeCell ref="D66:D67"/>
    <mergeCell ref="A68:H68"/>
    <mergeCell ref="D69:F69"/>
    <mergeCell ref="D73:D74"/>
    <mergeCell ref="D77:D78"/>
    <mergeCell ref="F79:F80"/>
    <mergeCell ref="G103:G104"/>
    <mergeCell ref="D105:D106"/>
    <mergeCell ref="D109:D110"/>
    <mergeCell ref="F111:F112"/>
    <mergeCell ref="D113:D114"/>
    <mergeCell ref="D117:D118"/>
    <mergeCell ref="D144:D145"/>
    <mergeCell ref="F146:F147"/>
    <mergeCell ref="D148:D149"/>
    <mergeCell ref="D152:D153"/>
    <mergeCell ref="F95:F96"/>
    <mergeCell ref="D97:D98"/>
    <mergeCell ref="D101:D102"/>
    <mergeCell ref="F127:F128"/>
    <mergeCell ref="D129:D130"/>
    <mergeCell ref="D133:D134"/>
    <mergeCell ref="A135:H135"/>
    <mergeCell ref="D136:F136"/>
    <mergeCell ref="D140:D141"/>
  </mergeCells>
  <conditionalFormatting sqref="H13:H18">
    <cfRule type="expression" priority="275" dxfId="884" stopIfTrue="1">
      <formula>$A$21=9</formula>
    </cfRule>
  </conditionalFormatting>
  <conditionalFormatting sqref="G19 F25:F27 E23:E25 E31:E33 F30:F31">
    <cfRule type="expression" priority="274" dxfId="886" stopIfTrue="1">
      <formula>$A$21=9</formula>
    </cfRule>
  </conditionalFormatting>
  <conditionalFormatting sqref="B20:B23">
    <cfRule type="expression" priority="273" dxfId="106" stopIfTrue="1">
      <formula>$A$21=9</formula>
    </cfRule>
  </conditionalFormatting>
  <conditionalFormatting sqref="E30 C23 C25 C27 C29 C31 C33 C21 F24 G28 E22">
    <cfRule type="expression" priority="272" dxfId="888" stopIfTrue="1">
      <formula>$A$21=9</formula>
    </cfRule>
  </conditionalFormatting>
  <conditionalFormatting sqref="F32 E26 E34">
    <cfRule type="expression" priority="271" dxfId="889" stopIfTrue="1">
      <formula>$A$21=9</formula>
    </cfRule>
  </conditionalFormatting>
  <conditionalFormatting sqref="B24:B27">
    <cfRule type="expression" priority="270" dxfId="11" stopIfTrue="1">
      <formula>$A$25=11</formula>
    </cfRule>
  </conditionalFormatting>
  <conditionalFormatting sqref="B28:B31">
    <cfRule type="expression" priority="269" dxfId="106" stopIfTrue="1">
      <formula>$A$29=13</formula>
    </cfRule>
  </conditionalFormatting>
  <conditionalFormatting sqref="B32:B35">
    <cfRule type="expression" priority="268" dxfId="11" stopIfTrue="1">
      <formula>$A$33=15</formula>
    </cfRule>
  </conditionalFormatting>
  <conditionalFormatting sqref="G20:G21">
    <cfRule type="cellIs" priority="267" dxfId="920" operator="equal" stopIfTrue="1">
      <formula>15</formula>
    </cfRule>
  </conditionalFormatting>
  <conditionalFormatting sqref="B36:B39 D36:D37 C36">
    <cfRule type="expression" priority="266" dxfId="106" stopIfTrue="1">
      <formula>$A$37=17</formula>
    </cfRule>
  </conditionalFormatting>
  <conditionalFormatting sqref="B40:B43">
    <cfRule type="expression" priority="265" dxfId="11" stopIfTrue="1">
      <formula>$A$41=19</formula>
    </cfRule>
  </conditionalFormatting>
  <conditionalFormatting sqref="B44:B47">
    <cfRule type="expression" priority="264" dxfId="106" stopIfTrue="1">
      <formula>$A$45=21</formula>
    </cfRule>
  </conditionalFormatting>
  <conditionalFormatting sqref="B48:B51">
    <cfRule type="expression" priority="263" dxfId="11" stopIfTrue="1">
      <formula>$A$49=23</formula>
    </cfRule>
  </conditionalFormatting>
  <conditionalFormatting sqref="B52:B55">
    <cfRule type="expression" priority="262" dxfId="106" stopIfTrue="1">
      <formula>$A$53=25</formula>
    </cfRule>
  </conditionalFormatting>
  <conditionalFormatting sqref="B56:B59">
    <cfRule type="expression" priority="261" dxfId="11" stopIfTrue="1">
      <formula>$A$57=27</formula>
    </cfRule>
  </conditionalFormatting>
  <conditionalFormatting sqref="B60:B63">
    <cfRule type="expression" priority="260" dxfId="106" stopIfTrue="1">
      <formula>$A$61=29</formula>
    </cfRule>
  </conditionalFormatting>
  <conditionalFormatting sqref="B64:B67 C66:C67">
    <cfRule type="expression" priority="259" dxfId="11" stopIfTrue="1">
      <formula>$A$65=31</formula>
    </cfRule>
  </conditionalFormatting>
  <conditionalFormatting sqref="C34">
    <cfRule type="expression" priority="258" dxfId="11" stopIfTrue="1">
      <formula>$A$35=16</formula>
    </cfRule>
  </conditionalFormatting>
  <conditionalFormatting sqref="C35">
    <cfRule type="expression" priority="257" dxfId="906" stopIfTrue="1">
      <formula>$A$35=16</formula>
    </cfRule>
  </conditionalFormatting>
  <conditionalFormatting sqref="C39 C41 C43 C45 C47 C49 C51 C53 C55 C57 C59 C61 C63 C65 E38 G44 E46 F56 E54 F40 E62">
    <cfRule type="expression" priority="256" dxfId="888" stopIfTrue="1">
      <formula>$A$37=17</formula>
    </cfRule>
  </conditionalFormatting>
  <conditionalFormatting sqref="C37">
    <cfRule type="expression" priority="255" dxfId="905" stopIfTrue="1">
      <formula>$A$37=17</formula>
    </cfRule>
  </conditionalFormatting>
  <conditionalFormatting sqref="E42 E50 E58 E66 F64 F48 H52 G60">
    <cfRule type="expression" priority="254" dxfId="889" stopIfTrue="1">
      <formula>$A$37=17</formula>
    </cfRule>
  </conditionalFormatting>
  <conditionalFormatting sqref="F62:F63 H37:H51 F41:F43 E47:F47 F57:F59 G45:G51 E39:E41 E48:E49 E55:E57 E63:E65 F46 G54:G59 H29:H34">
    <cfRule type="expression" priority="253" dxfId="886" stopIfTrue="1">
      <formula>$A$37=17</formula>
    </cfRule>
  </conditionalFormatting>
  <conditionalFormatting sqref="H28">
    <cfRule type="expression" priority="251" dxfId="911" stopIfTrue="1">
      <formula>$A$37=17</formula>
    </cfRule>
    <cfRule type="expression" priority="252" dxfId="884" stopIfTrue="1">
      <formula>$A$21=9</formula>
    </cfRule>
  </conditionalFormatting>
  <conditionalFormatting sqref="H21">
    <cfRule type="expression" priority="249" dxfId="921" stopIfTrue="1">
      <formula>$A$37=17</formula>
    </cfRule>
    <cfRule type="expression" priority="250" dxfId="922" stopIfTrue="1">
      <formula>$A$21=9</formula>
    </cfRule>
  </conditionalFormatting>
  <conditionalFormatting sqref="H22:H27">
    <cfRule type="expression" priority="247" dxfId="911" stopIfTrue="1">
      <formula>$A$37=17</formula>
    </cfRule>
    <cfRule type="expression" priority="248" dxfId="908" stopIfTrue="1">
      <formula>$A$21=9</formula>
    </cfRule>
  </conditionalFormatting>
  <conditionalFormatting sqref="B71:B74 C71:D71 D72 D104 C103:D103">
    <cfRule type="expression" priority="246" dxfId="106" stopIfTrue="1">
      <formula>$A$72=33</formula>
    </cfRule>
  </conditionalFormatting>
  <conditionalFormatting sqref="B75:B78">
    <cfRule type="expression" priority="245" dxfId="11" stopIfTrue="1">
      <formula>$A$76=35</formula>
    </cfRule>
  </conditionalFormatting>
  <conditionalFormatting sqref="B79:B82">
    <cfRule type="expression" priority="244" dxfId="106" stopIfTrue="1">
      <formula>$A$80=37</formula>
    </cfRule>
  </conditionalFormatting>
  <conditionalFormatting sqref="B83:B86">
    <cfRule type="expression" priority="243" dxfId="11" stopIfTrue="1">
      <formula>$A$84=39</formula>
    </cfRule>
  </conditionalFormatting>
  <conditionalFormatting sqref="B87:B90">
    <cfRule type="expression" priority="242" dxfId="106" stopIfTrue="1">
      <formula>$A$88=41</formula>
    </cfRule>
  </conditionalFormatting>
  <conditionalFormatting sqref="B91:B94">
    <cfRule type="expression" priority="241" dxfId="11" stopIfTrue="1">
      <formula>$A$92=43</formula>
    </cfRule>
  </conditionalFormatting>
  <conditionalFormatting sqref="B95:B98">
    <cfRule type="expression" priority="240" dxfId="106" stopIfTrue="1">
      <formula>$A$96=45</formula>
    </cfRule>
  </conditionalFormatting>
  <conditionalFormatting sqref="B99:B102">
    <cfRule type="expression" priority="239" dxfId="11" stopIfTrue="1">
      <formula>$A$100=47</formula>
    </cfRule>
  </conditionalFormatting>
  <conditionalFormatting sqref="B103:B106">
    <cfRule type="expression" priority="238" dxfId="106" stopIfTrue="1">
      <formula>$A$104=49</formula>
    </cfRule>
  </conditionalFormatting>
  <conditionalFormatting sqref="B107:B110">
    <cfRule type="expression" priority="237" dxfId="11" stopIfTrue="1">
      <formula>$A$108=51</formula>
    </cfRule>
  </conditionalFormatting>
  <conditionalFormatting sqref="B111:B114">
    <cfRule type="expression" priority="236" dxfId="106" stopIfTrue="1">
      <formula>$A$112=53</formula>
    </cfRule>
  </conditionalFormatting>
  <conditionalFormatting sqref="B115:B118">
    <cfRule type="expression" priority="235" dxfId="11" stopIfTrue="1">
      <formula>$A$116=55</formula>
    </cfRule>
  </conditionalFormatting>
  <conditionalFormatting sqref="B119:B122">
    <cfRule type="expression" priority="234" dxfId="106" stopIfTrue="1">
      <formula>$A$120=57</formula>
    </cfRule>
  </conditionalFormatting>
  <conditionalFormatting sqref="B123:B126">
    <cfRule type="expression" priority="233" dxfId="11" stopIfTrue="1">
      <formula>$A$124=59</formula>
    </cfRule>
  </conditionalFormatting>
  <conditionalFormatting sqref="B127:B130">
    <cfRule type="expression" priority="232" dxfId="106" stopIfTrue="1">
      <formula>$A$128=61</formula>
    </cfRule>
  </conditionalFormatting>
  <conditionalFormatting sqref="B131:B134">
    <cfRule type="expression" priority="231" dxfId="11"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230" dxfId="888" stopIfTrue="1">
      <formula>$A$72=33</formula>
    </cfRule>
  </conditionalFormatting>
  <conditionalFormatting sqref="D121:D122 D73:D74 D77:D78 D81:D82 D85:D86 D89:D90 D93:D94 D97:D98 D129:D130 D105:D106 D109:D110 D113:D114 D117:D118 D125:D126">
    <cfRule type="expression" priority="229" dxfId="907"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228" dxfId="886" stopIfTrue="1">
      <formula>$A$72=33</formula>
    </cfRule>
  </conditionalFormatting>
  <conditionalFormatting sqref="E77 E85 F83 E93 E101 E109 E117 F99 F115 E125 E133 F131 G95 G127 H103 H119">
    <cfRule type="expression" priority="227" dxfId="889" stopIfTrue="1">
      <formula>$A$72=33</formula>
    </cfRule>
  </conditionalFormatting>
  <conditionalFormatting sqref="C72 C104">
    <cfRule type="expression" priority="225" dxfId="905" stopIfTrue="1">
      <formula>$A$72=33</formula>
    </cfRule>
  </conditionalFormatting>
  <conditionalFormatting sqref="C102 C134">
    <cfRule type="expression" priority="224" dxfId="906" stopIfTrue="1">
      <formula>$A$72=33</formula>
    </cfRule>
  </conditionalFormatting>
  <conditionalFormatting sqref="D38:D39 D42:D43 D46:D47 D50:D51 D54:D55 D58:D59 D62:D63">
    <cfRule type="expression" priority="223" dxfId="907" stopIfTrue="1">
      <formula>$A$37=17</formula>
    </cfRule>
  </conditionalFormatting>
  <conditionalFormatting sqref="D22:D23 D26:D27 D30:D31">
    <cfRule type="expression" priority="222" dxfId="907" stopIfTrue="1">
      <formula>$A$21=9</formula>
    </cfRule>
  </conditionalFormatting>
  <conditionalFormatting sqref="D34:D35">
    <cfRule type="expression" priority="221" dxfId="923" stopIfTrue="1">
      <formula>$A$21=9</formula>
    </cfRule>
  </conditionalFormatting>
  <conditionalFormatting sqref="D66:D67">
    <cfRule type="expression" priority="220" dxfId="923" stopIfTrue="1">
      <formula>$A$37=17</formula>
    </cfRule>
  </conditionalFormatting>
  <conditionalFormatting sqref="D133:D134 D101:D102">
    <cfRule type="expression" priority="219" dxfId="923" stopIfTrue="1">
      <formula>$A$72=33</formula>
    </cfRule>
  </conditionalFormatting>
  <conditionalFormatting sqref="F28:F29">
    <cfRule type="expression" priority="218" dxfId="886" stopIfTrue="1">
      <formula>$A$21=9</formula>
    </cfRule>
  </conditionalFormatting>
  <conditionalFormatting sqref="F44:F45 F60:F61 G52:G53">
    <cfRule type="expression" priority="217" dxfId="886" stopIfTrue="1">
      <formula>$A$37=17</formula>
    </cfRule>
  </conditionalFormatting>
  <conditionalFormatting sqref="F79:F80 F95:F96 F111:F112 F127:F128 G87:G88 G119:G120">
    <cfRule type="expression" priority="216" dxfId="886" stopIfTrue="1">
      <formula>$A$72=33</formula>
    </cfRule>
  </conditionalFormatting>
  <conditionalFormatting sqref="H20">
    <cfRule type="expression" priority="214" dxfId="924" stopIfTrue="1">
      <formula>$G$20=15</formula>
    </cfRule>
    <cfRule type="expression" priority="215" dxfId="884" stopIfTrue="1">
      <formula>$A$21=9</formula>
    </cfRule>
  </conditionalFormatting>
  <conditionalFormatting sqref="H19">
    <cfRule type="expression" priority="213" dxfId="925" stopIfTrue="1">
      <formula>$G$20=15</formula>
    </cfRule>
  </conditionalFormatting>
  <conditionalFormatting sqref="H35">
    <cfRule type="expression" priority="211" dxfId="926" stopIfTrue="1">
      <formula>$A$72=33</formula>
    </cfRule>
    <cfRule type="expression" priority="212" dxfId="927" stopIfTrue="1">
      <formula>$G$36=31</formula>
    </cfRule>
  </conditionalFormatting>
  <conditionalFormatting sqref="H36">
    <cfRule type="expression" priority="209" dxfId="916" stopIfTrue="1">
      <formula>$A$72=33</formula>
    </cfRule>
    <cfRule type="expression" priority="210" dxfId="918" stopIfTrue="1">
      <formula>$G$36=31</formula>
    </cfRule>
  </conditionalFormatting>
  <conditionalFormatting sqref="C139">
    <cfRule type="expression" priority="208" dxfId="905" stopIfTrue="1">
      <formula>$A$139=65</formula>
    </cfRule>
  </conditionalFormatting>
  <conditionalFormatting sqref="C143 C145 C147 C153 E140 E148 F142 G146">
    <cfRule type="expression" priority="207" dxfId="888" stopIfTrue="1">
      <formula>$A$139=65</formula>
    </cfRule>
  </conditionalFormatting>
  <conditionalFormatting sqref="D152:D153">
    <cfRule type="expression" priority="205" dxfId="907" stopIfTrue="1">
      <formula>$A$139=65</formula>
    </cfRule>
  </conditionalFormatting>
  <conditionalFormatting sqref="E152 F150 E144">
    <cfRule type="expression" priority="203" dxfId="889" stopIfTrue="1">
      <formula>$A$139=65</formula>
    </cfRule>
  </conditionalFormatting>
  <conditionalFormatting sqref="E141:E143 F143:F145 F148:F149 G147:G153 E149:E151">
    <cfRule type="expression" priority="202" dxfId="886" stopIfTrue="1">
      <formula>$A$139=65</formula>
    </cfRule>
  </conditionalFormatting>
  <conditionalFormatting sqref="F146:F147">
    <cfRule type="expression" priority="201" dxfId="886" stopIfTrue="1">
      <formula>$A$139=65</formula>
    </cfRule>
  </conditionalFormatting>
  <conditionalFormatting sqref="C138 D138:D139 B138:B139">
    <cfRule type="expression" priority="200" dxfId="106" stopIfTrue="1">
      <formula>$A$139=65</formula>
    </cfRule>
  </conditionalFormatting>
  <conditionalFormatting sqref="B142:B145">
    <cfRule type="expression" priority="199" dxfId="11" stopIfTrue="1">
      <formula>$A$143=67</formula>
    </cfRule>
  </conditionalFormatting>
  <conditionalFormatting sqref="B146:B147">
    <cfRule type="expression" priority="198" dxfId="106" stopIfTrue="1">
      <formula>$A$147=69</formula>
    </cfRule>
  </conditionalFormatting>
  <conditionalFormatting sqref="B150 B152:B153">
    <cfRule type="expression" priority="197" dxfId="11" stopIfTrue="1">
      <formula>$A$151=71</formula>
    </cfRule>
  </conditionalFormatting>
  <conditionalFormatting sqref="G103:G104">
    <cfRule type="cellIs" priority="167" dxfId="920" operator="equal" stopIfTrue="1">
      <formula>62</formula>
    </cfRule>
    <cfRule type="cellIs" priority="168" dxfId="920" operator="equal" stopIfTrue="1">
      <formula>122</formula>
    </cfRule>
  </conditionalFormatting>
  <conditionalFormatting sqref="G36:G37">
    <cfRule type="cellIs" priority="164" dxfId="920" operator="equal" stopIfTrue="1">
      <formula>121</formula>
    </cfRule>
    <cfRule type="cellIs" priority="165" dxfId="920" operator="equal" stopIfTrue="1">
      <formula>61</formula>
    </cfRule>
    <cfRule type="cellIs" priority="166" dxfId="920" operator="equal" stopIfTrue="1">
      <formula>31</formula>
    </cfRule>
  </conditionalFormatting>
  <conditionalFormatting sqref="B140">
    <cfRule type="expression" priority="151" dxfId="106" stopIfTrue="1">
      <formula>$A$139=65</formula>
    </cfRule>
    <cfRule type="expression" priority="152" dxfId="888" stopIfTrue="1">
      <formula>$A$140=61</formula>
    </cfRule>
  </conditionalFormatting>
  <conditionalFormatting sqref="B148">
    <cfRule type="expression" priority="149" dxfId="106" stopIfTrue="1">
      <formula>$A$147=69</formula>
    </cfRule>
    <cfRule type="expression" priority="150" dxfId="888" stopIfTrue="1">
      <formula>$A$148=62</formula>
    </cfRule>
  </conditionalFormatting>
  <conditionalFormatting sqref="B141">
    <cfRule type="expression" priority="147" dxfId="106" stopIfTrue="1">
      <formula>$A$139=65</formula>
    </cfRule>
    <cfRule type="expression" priority="148" dxfId="888" stopIfTrue="1">
      <formula>$A$141=61</formula>
    </cfRule>
  </conditionalFormatting>
  <conditionalFormatting sqref="A141 C140">
    <cfRule type="expression" priority="146" dxfId="920" stopIfTrue="1">
      <formula>$A$141=61</formula>
    </cfRule>
  </conditionalFormatting>
  <conditionalFormatting sqref="D140:D141">
    <cfRule type="expression" priority="144" dxfId="907" stopIfTrue="1">
      <formula>$A$139=65</formula>
    </cfRule>
    <cfRule type="expression" priority="145" dxfId="888" stopIfTrue="1">
      <formula>$A$141=61</formula>
    </cfRule>
  </conditionalFormatting>
  <conditionalFormatting sqref="B149">
    <cfRule type="expression" priority="142" dxfId="106" stopIfTrue="1">
      <formula>$A$147=69</formula>
    </cfRule>
    <cfRule type="expression" priority="143" dxfId="888" stopIfTrue="1">
      <formula>$A$149=62</formula>
    </cfRule>
  </conditionalFormatting>
  <conditionalFormatting sqref="C149">
    <cfRule type="expression" priority="140" dxfId="888" stopIfTrue="1">
      <formula>$A$139=65</formula>
    </cfRule>
    <cfRule type="expression" priority="141" dxfId="888" stopIfTrue="1">
      <formula>$A$149=62</formula>
    </cfRule>
  </conditionalFormatting>
  <conditionalFormatting sqref="B151">
    <cfRule type="expression" priority="138" dxfId="11" stopIfTrue="1">
      <formula>$A$151=71</formula>
    </cfRule>
    <cfRule type="expression" priority="139" dxfId="888" stopIfTrue="1">
      <formula>$A$151=62</formula>
    </cfRule>
  </conditionalFormatting>
  <conditionalFormatting sqref="D151">
    <cfRule type="expression" priority="137" dxfId="889" stopIfTrue="1">
      <formula>$A$151=62</formula>
    </cfRule>
  </conditionalFormatting>
  <conditionalFormatting sqref="C141">
    <cfRule type="expression" priority="135" dxfId="888" stopIfTrue="1">
      <formula>$A$139=65</formula>
    </cfRule>
    <cfRule type="expression" priority="136" dxfId="917" stopIfTrue="1">
      <formula>$A$141=61</formula>
    </cfRule>
  </conditionalFormatting>
  <conditionalFormatting sqref="C151">
    <cfRule type="expression" priority="133" dxfId="888" stopIfTrue="1">
      <formula>$A$139=65</formula>
    </cfRule>
    <cfRule type="expression" priority="134" dxfId="917" stopIfTrue="1">
      <formula>$A$151=62</formula>
    </cfRule>
  </conditionalFormatting>
  <conditionalFormatting sqref="E146">
    <cfRule type="expression" priority="132" dxfId="928" stopIfTrue="1">
      <formula>$D$146=63</formula>
    </cfRule>
  </conditionalFormatting>
  <conditionalFormatting sqref="D142:D143">
    <cfRule type="expression" priority="131" dxfId="887" stopIfTrue="1">
      <formula>$A$141=61</formula>
    </cfRule>
  </conditionalFormatting>
  <conditionalFormatting sqref="D144:D145">
    <cfRule type="expression" priority="129" dxfId="907" stopIfTrue="1">
      <formula>$A$139=65</formula>
    </cfRule>
    <cfRule type="expression" priority="130" dxfId="886" stopIfTrue="1">
      <formula>$A$141=61</formula>
    </cfRule>
  </conditionalFormatting>
  <conditionalFormatting sqref="D147 D150">
    <cfRule type="expression" priority="128" dxfId="886" stopIfTrue="1">
      <formula>$A$141=61</formula>
    </cfRule>
  </conditionalFormatting>
  <conditionalFormatting sqref="D146">
    <cfRule type="expression" priority="127" dxfId="910" stopIfTrue="1">
      <formula>$A$141=61</formula>
    </cfRule>
  </conditionalFormatting>
  <conditionalFormatting sqref="D148:D149">
    <cfRule type="expression" priority="125" dxfId="907" stopIfTrue="1">
      <formula>$A$139=65</formula>
    </cfRule>
    <cfRule type="expression" priority="126" dxfId="887" stopIfTrue="1">
      <formula>$A$141=61</formula>
    </cfRule>
  </conditionalFormatting>
  <conditionalFormatting sqref="E145">
    <cfRule type="expression" priority="124" dxfId="929" stopIfTrue="1">
      <formula>$D$146=63</formula>
    </cfRule>
  </conditionalFormatting>
  <conditionalFormatting sqref="C150">
    <cfRule type="expression" priority="123" dxfId="920" stopIfTrue="1">
      <formula>$A$151=62</formula>
    </cfRule>
  </conditionalFormatting>
  <conditionalFormatting sqref="E147">
    <cfRule type="expression" priority="122" dxfId="920" stopIfTrue="1">
      <formula>$D$146=63</formula>
    </cfRule>
  </conditionalFormatting>
  <conditionalFormatting sqref="C5:D5">
    <cfRule type="expression" priority="121" dxfId="905" stopIfTrue="1">
      <formula>$A$5=1</formula>
    </cfRule>
  </conditionalFormatting>
  <conditionalFormatting sqref="C4:D4 B4:B7">
    <cfRule type="expression" priority="120" dxfId="106" stopIfTrue="1">
      <formula>$A$5=1</formula>
    </cfRule>
  </conditionalFormatting>
  <conditionalFormatting sqref="C7">
    <cfRule type="expression" priority="119" dxfId="888" stopIfTrue="1">
      <formula>$A$7=2</formula>
    </cfRule>
  </conditionalFormatting>
  <conditionalFormatting sqref="D6:D7">
    <cfRule type="expression" priority="118" dxfId="889" stopIfTrue="1">
      <formula>$A$7=2</formula>
    </cfRule>
  </conditionalFormatting>
  <conditionalFormatting sqref="B8:B11">
    <cfRule type="expression" priority="117" dxfId="11" stopIfTrue="1">
      <formula>$A$9=3</formula>
    </cfRule>
  </conditionalFormatting>
  <conditionalFormatting sqref="C9:D9">
    <cfRule type="expression" priority="116" dxfId="888" stopIfTrue="1">
      <formula>$A$9=3</formula>
    </cfRule>
  </conditionalFormatting>
  <conditionalFormatting sqref="G11">
    <cfRule type="expression" priority="115" dxfId="924" stopIfTrue="1">
      <formula>$F$12=7</formula>
    </cfRule>
  </conditionalFormatting>
  <conditionalFormatting sqref="G9:G10 G13:G16">
    <cfRule type="expression" priority="114" dxfId="884" stopIfTrue="1">
      <formula>$F$12=7</formula>
    </cfRule>
  </conditionalFormatting>
  <conditionalFormatting sqref="C13:D13 C15 E14">
    <cfRule type="expression" priority="113" dxfId="888" stopIfTrue="1">
      <formula>$A$13=5</formula>
    </cfRule>
  </conditionalFormatting>
  <conditionalFormatting sqref="D14:D15 F16">
    <cfRule type="expression" priority="112" dxfId="889" stopIfTrue="1">
      <formula>$A$13=5</formula>
    </cfRule>
  </conditionalFormatting>
  <conditionalFormatting sqref="C17:D17 C19">
    <cfRule type="expression" priority="111" dxfId="888" stopIfTrue="1">
      <formula>$A$17=7</formula>
    </cfRule>
  </conditionalFormatting>
  <conditionalFormatting sqref="D18:D19 E18">
    <cfRule type="expression" priority="110" dxfId="889" stopIfTrue="1">
      <formula>$A$17=7</formula>
    </cfRule>
  </conditionalFormatting>
  <conditionalFormatting sqref="C11">
    <cfRule type="expression" priority="109" dxfId="915" stopIfTrue="1">
      <formula>$A$9=3</formula>
    </cfRule>
  </conditionalFormatting>
  <conditionalFormatting sqref="D10:D11">
    <cfRule type="expression" priority="108" dxfId="916" stopIfTrue="1">
      <formula>$A$9=3</formula>
    </cfRule>
  </conditionalFormatting>
  <conditionalFormatting sqref="C10">
    <cfRule type="expression" priority="107" dxfId="107" stopIfTrue="1">
      <formula>$A$9=3</formula>
    </cfRule>
  </conditionalFormatting>
  <conditionalFormatting sqref="B12:B15">
    <cfRule type="expression" priority="106" dxfId="106" stopIfTrue="1">
      <formula>$A$13=5</formula>
    </cfRule>
  </conditionalFormatting>
  <conditionalFormatting sqref="B16:B19">
    <cfRule type="expression" priority="105" dxfId="11" stopIfTrue="1">
      <formula>$A$17=7</formula>
    </cfRule>
  </conditionalFormatting>
  <conditionalFormatting sqref="E6 F8">
    <cfRule type="expression" priority="104" dxfId="888" stopIfTrue="1">
      <formula>$A$5=1</formula>
    </cfRule>
  </conditionalFormatting>
  <conditionalFormatting sqref="E10">
    <cfRule type="expression" priority="103" dxfId="889" stopIfTrue="1">
      <formula>$A$9=3</formula>
    </cfRule>
  </conditionalFormatting>
  <conditionalFormatting sqref="E7:E9">
    <cfRule type="expression" priority="102" dxfId="886" stopIfTrue="1">
      <formula>$A$5=1</formula>
    </cfRule>
  </conditionalFormatting>
  <conditionalFormatting sqref="E15:E17 F9:F11 F14:F15">
    <cfRule type="expression" priority="101" dxfId="886" stopIfTrue="1">
      <formula>$A$13=5</formula>
    </cfRule>
  </conditionalFormatting>
  <conditionalFormatting sqref="F12:F13">
    <cfRule type="cellIs" priority="99" dxfId="920" operator="equal" stopIfTrue="1">
      <formula>7</formula>
    </cfRule>
    <cfRule type="expression" priority="100" dxfId="886" stopIfTrue="1">
      <formula>$A$13=5</formula>
    </cfRule>
  </conditionalFormatting>
  <conditionalFormatting sqref="G12">
    <cfRule type="expression" priority="97" dxfId="890" stopIfTrue="1">
      <formula>$F$12=7</formula>
    </cfRule>
    <cfRule type="expression" priority="98" dxfId="888" stopIfTrue="1">
      <formula>$A$13=5</formula>
    </cfRule>
  </conditionalFormatting>
  <conditionalFormatting sqref="C67">
    <cfRule type="expression" priority="96" dxfId="930" stopIfTrue="1">
      <formula>$A$37=17</formula>
    </cfRule>
  </conditionalFormatting>
  <conditionalFormatting sqref="A151">
    <cfRule type="expression" priority="8" dxfId="920" stopIfTrue="1">
      <formula>$A$151=62</formula>
    </cfRule>
  </conditionalFormatting>
  <conditionalFormatting sqref="A68:H68 C133 C101">
    <cfRule type="expression" priority="7" dxfId="1" stopIfTrue="1">
      <formula>$A$72=33</formula>
    </cfRule>
  </conditionalFormatting>
  <conditionalFormatting sqref="A135:H135">
    <cfRule type="expression" priority="5" dxfId="1" stopIfTrue="1">
      <formula>$A$141=61</formula>
    </cfRule>
    <cfRule type="expression" priority="6" dxfId="1" stopIfTrue="1">
      <formula>$A$139=65</formula>
    </cfRule>
  </conditionalFormatting>
  <printOptions horizontalCentered="1"/>
  <pageMargins left="0" right="0" top="0.3937007874015748" bottom="0.3937007874015748" header="0" footer="0"/>
  <pageSetup fitToHeight="0" fitToWidth="1" horizontalDpi="600" verticalDpi="600" orientation="portrait" paperSize="245" scale="88" r:id="rId1"/>
  <rowBreaks count="2" manualBreakCount="2">
    <brk id="67" max="7" man="1"/>
    <brk id="134" max="7" man="1"/>
  </rowBreaks>
</worksheet>
</file>

<file path=xl/worksheets/sheet8.xml><?xml version="1.0" encoding="utf-8"?>
<worksheet xmlns="http://schemas.openxmlformats.org/spreadsheetml/2006/main" xmlns:r="http://schemas.openxmlformats.org/officeDocument/2006/relationships">
  <sheetPr>
    <tabColor indexed="15"/>
  </sheetPr>
  <dimension ref="A1:H293"/>
  <sheetViews>
    <sheetView showGridLines="0" view="pageBreakPreview" zoomScaleSheetLayoutView="100" zoomScalePageLayoutView="0" workbookViewId="0" topLeftCell="A1">
      <pane ySplit="4" topLeftCell="A5" activePane="bottomLeft" state="frozen"/>
      <selection pane="topLeft" activeCell="K6" sqref="K6"/>
      <selection pane="bottomLeft" activeCell="G1" sqref="G1:O16384"/>
    </sheetView>
  </sheetViews>
  <sheetFormatPr defaultColWidth="9.00390625" defaultRowHeight="12.75"/>
  <cols>
    <col min="1" max="1" width="5.25390625" style="18" customWidth="1"/>
    <col min="2" max="2" width="23.00390625" style="1" customWidth="1"/>
    <col min="3" max="3" width="29.125" style="1" customWidth="1"/>
    <col min="4" max="4" width="13.375" style="19"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85" t="s">
        <v>73</v>
      </c>
      <c r="B1" s="185"/>
      <c r="C1" s="185"/>
      <c r="D1" s="185"/>
      <c r="E1" s="185"/>
      <c r="F1" s="185"/>
      <c r="H1" s="2"/>
    </row>
    <row r="2" spans="1:6" ht="36.75" customHeight="1">
      <c r="A2" s="3"/>
      <c r="B2" s="186" t="s">
        <v>0</v>
      </c>
      <c r="C2" s="186"/>
      <c r="D2" s="186"/>
      <c r="E2" s="3"/>
      <c r="F2" s="3"/>
    </row>
    <row r="3" spans="1:6" ht="30.75" customHeight="1" thickBot="1">
      <c r="A3" s="4"/>
      <c r="B3" s="187" t="s">
        <v>222</v>
      </c>
      <c r="C3" s="187"/>
      <c r="D3" s="187"/>
      <c r="E3" s="4"/>
      <c r="F3" s="4"/>
    </row>
    <row r="4" spans="1:6" ht="17.25" customHeight="1" thickBot="1">
      <c r="A4" s="5" t="s">
        <v>1</v>
      </c>
      <c r="B4" s="6" t="s">
        <v>2</v>
      </c>
      <c r="C4" s="6" t="s">
        <v>3</v>
      </c>
      <c r="D4" s="7" t="s">
        <v>4</v>
      </c>
      <c r="E4" s="8" t="s">
        <v>5</v>
      </c>
      <c r="F4" s="9"/>
    </row>
    <row r="5" spans="1:5" ht="15">
      <c r="A5" s="10">
        <v>2</v>
      </c>
      <c r="B5" s="10" t="s">
        <v>34</v>
      </c>
      <c r="C5" s="10" t="s">
        <v>215</v>
      </c>
      <c r="D5" s="11">
        <v>1998</v>
      </c>
      <c r="E5" s="11">
        <v>2</v>
      </c>
    </row>
    <row r="6" spans="1:6" s="14" customFormat="1" ht="15" customHeight="1">
      <c r="A6" s="10">
        <v>4</v>
      </c>
      <c r="B6" s="10" t="s">
        <v>42</v>
      </c>
      <c r="C6" s="10" t="s">
        <v>246</v>
      </c>
      <c r="D6" s="11">
        <v>1999</v>
      </c>
      <c r="E6" s="11">
        <v>4</v>
      </c>
      <c r="F6" s="13"/>
    </row>
    <row r="7" spans="1:5" ht="15.75" customHeight="1">
      <c r="A7" s="10">
        <v>5</v>
      </c>
      <c r="B7" s="10" t="s">
        <v>107</v>
      </c>
      <c r="C7" s="10" t="s">
        <v>221</v>
      </c>
      <c r="D7" s="11">
        <v>2000</v>
      </c>
      <c r="E7" s="11">
        <v>5</v>
      </c>
    </row>
    <row r="8" spans="1:5" ht="15">
      <c r="A8" s="10">
        <v>8</v>
      </c>
      <c r="B8" s="10" t="s">
        <v>143</v>
      </c>
      <c r="C8" s="10" t="s">
        <v>221</v>
      </c>
      <c r="D8" s="11">
        <v>1998</v>
      </c>
      <c r="E8" s="11">
        <v>8</v>
      </c>
    </row>
    <row r="9" spans="1:5" ht="18" customHeight="1">
      <c r="A9" s="10">
        <v>9</v>
      </c>
      <c r="B9" s="10" t="s">
        <v>147</v>
      </c>
      <c r="C9" s="10" t="s">
        <v>220</v>
      </c>
      <c r="D9" s="11">
        <v>1999</v>
      </c>
      <c r="E9" s="11">
        <v>9</v>
      </c>
    </row>
    <row r="10" spans="1:5" ht="15">
      <c r="A10" s="10">
        <v>10</v>
      </c>
      <c r="B10" s="10" t="s">
        <v>263</v>
      </c>
      <c r="C10" s="10" t="s">
        <v>248</v>
      </c>
      <c r="D10" s="11">
        <v>2000</v>
      </c>
      <c r="E10" s="11">
        <v>10</v>
      </c>
    </row>
    <row r="11" spans="1:5" ht="15">
      <c r="A11" s="10">
        <v>11</v>
      </c>
      <c r="B11" s="10" t="s">
        <v>145</v>
      </c>
      <c r="C11" s="10" t="s">
        <v>221</v>
      </c>
      <c r="D11" s="11">
        <v>1998</v>
      </c>
      <c r="E11" s="11">
        <v>11.5</v>
      </c>
    </row>
    <row r="12" spans="1:5" ht="15">
      <c r="A12" s="10">
        <v>12</v>
      </c>
      <c r="B12" s="10" t="s">
        <v>40</v>
      </c>
      <c r="C12" s="10" t="s">
        <v>268</v>
      </c>
      <c r="D12" s="11">
        <v>1998</v>
      </c>
      <c r="E12" s="11">
        <v>11.5</v>
      </c>
    </row>
    <row r="13" spans="1:5" ht="15">
      <c r="A13" s="10">
        <v>13</v>
      </c>
      <c r="B13" s="10" t="s">
        <v>97</v>
      </c>
      <c r="C13" s="10" t="s">
        <v>246</v>
      </c>
      <c r="D13" s="11">
        <v>2001</v>
      </c>
      <c r="E13" s="11">
        <v>13</v>
      </c>
    </row>
    <row r="14" spans="1:6" ht="15">
      <c r="A14" s="10">
        <v>14</v>
      </c>
      <c r="B14" s="10" t="s">
        <v>37</v>
      </c>
      <c r="C14" s="10" t="s">
        <v>248</v>
      </c>
      <c r="D14" s="11">
        <v>1998</v>
      </c>
      <c r="E14" s="11">
        <v>14</v>
      </c>
      <c r="F14" s="13"/>
    </row>
    <row r="15" spans="1:5" ht="15">
      <c r="A15" s="10">
        <v>15</v>
      </c>
      <c r="B15" s="10" t="s">
        <v>91</v>
      </c>
      <c r="C15" s="10" t="s">
        <v>221</v>
      </c>
      <c r="D15" s="11">
        <v>1999</v>
      </c>
      <c r="E15" s="11">
        <v>15</v>
      </c>
    </row>
    <row r="16" spans="1:5" ht="15">
      <c r="A16" s="10">
        <v>16</v>
      </c>
      <c r="B16" s="10" t="s">
        <v>47</v>
      </c>
      <c r="C16" s="10" t="s">
        <v>221</v>
      </c>
      <c r="D16" s="11">
        <v>1999</v>
      </c>
      <c r="E16" s="11">
        <v>16</v>
      </c>
    </row>
    <row r="17" spans="1:5" ht="15">
      <c r="A17" s="10">
        <v>17</v>
      </c>
      <c r="B17" s="10" t="s">
        <v>148</v>
      </c>
      <c r="C17" s="10" t="s">
        <v>220</v>
      </c>
      <c r="D17" s="11">
        <v>2000</v>
      </c>
      <c r="E17" s="11">
        <v>17</v>
      </c>
    </row>
    <row r="18" spans="1:5" ht="15">
      <c r="A18" s="10">
        <v>18</v>
      </c>
      <c r="B18" s="10" t="s">
        <v>109</v>
      </c>
      <c r="C18" s="10" t="s">
        <v>221</v>
      </c>
      <c r="D18" s="11">
        <v>2000</v>
      </c>
      <c r="E18" s="11">
        <v>18</v>
      </c>
    </row>
    <row r="19" spans="1:5" ht="15">
      <c r="A19" s="10">
        <v>19</v>
      </c>
      <c r="B19" s="10" t="s">
        <v>141</v>
      </c>
      <c r="C19" s="10" t="s">
        <v>249</v>
      </c>
      <c r="D19" s="11">
        <v>1998</v>
      </c>
      <c r="E19" s="11">
        <v>19</v>
      </c>
    </row>
    <row r="20" spans="1:5" ht="15">
      <c r="A20" s="10">
        <v>21</v>
      </c>
      <c r="B20" s="10" t="s">
        <v>70</v>
      </c>
      <c r="C20" s="10" t="s">
        <v>286</v>
      </c>
      <c r="D20" s="11">
        <v>2000</v>
      </c>
      <c r="E20" s="11">
        <v>21</v>
      </c>
    </row>
    <row r="21" spans="1:5" ht="15">
      <c r="A21" s="10">
        <v>22</v>
      </c>
      <c r="B21" s="10" t="s">
        <v>123</v>
      </c>
      <c r="C21" s="10" t="s">
        <v>287</v>
      </c>
      <c r="D21" s="11">
        <v>2002</v>
      </c>
      <c r="E21" s="11">
        <v>22</v>
      </c>
    </row>
    <row r="22" spans="1:5" ht="15">
      <c r="A22" s="10">
        <v>23</v>
      </c>
      <c r="B22" s="10" t="s">
        <v>159</v>
      </c>
      <c r="C22" s="10" t="s">
        <v>288</v>
      </c>
      <c r="D22" s="11">
        <v>1999</v>
      </c>
      <c r="E22" s="11">
        <v>23</v>
      </c>
    </row>
    <row r="23" spans="1:5" ht="15">
      <c r="A23" s="10">
        <v>24</v>
      </c>
      <c r="B23" s="10" t="s">
        <v>133</v>
      </c>
      <c r="C23" s="10" t="s">
        <v>216</v>
      </c>
      <c r="D23" s="11">
        <v>2000</v>
      </c>
      <c r="E23" s="11">
        <v>24</v>
      </c>
    </row>
    <row r="24" spans="1:5" ht="15">
      <c r="A24" s="10">
        <v>25</v>
      </c>
      <c r="B24" s="10" t="s">
        <v>53</v>
      </c>
      <c r="C24" s="10" t="s">
        <v>289</v>
      </c>
      <c r="D24" s="11">
        <v>1998</v>
      </c>
      <c r="E24" s="11">
        <v>25</v>
      </c>
    </row>
    <row r="25" spans="1:5" ht="15">
      <c r="A25" s="10">
        <v>26</v>
      </c>
      <c r="B25" s="10" t="s">
        <v>60</v>
      </c>
      <c r="C25" s="10" t="s">
        <v>249</v>
      </c>
      <c r="D25" s="11">
        <v>1998</v>
      </c>
      <c r="E25" s="11">
        <v>26</v>
      </c>
    </row>
    <row r="26" spans="1:5" ht="15">
      <c r="A26" s="10">
        <v>27</v>
      </c>
      <c r="B26" s="10" t="s">
        <v>99</v>
      </c>
      <c r="C26" s="10" t="s">
        <v>221</v>
      </c>
      <c r="D26" s="11">
        <v>2001</v>
      </c>
      <c r="E26" s="11">
        <v>27</v>
      </c>
    </row>
    <row r="27" spans="1:5" ht="15">
      <c r="A27" s="10">
        <v>28</v>
      </c>
      <c r="B27" s="10" t="s">
        <v>124</v>
      </c>
      <c r="C27" s="10" t="s">
        <v>221</v>
      </c>
      <c r="D27" s="11">
        <v>2001</v>
      </c>
      <c r="E27" s="11">
        <v>28</v>
      </c>
    </row>
    <row r="28" spans="1:5" ht="15">
      <c r="A28" s="10">
        <v>29</v>
      </c>
      <c r="B28" s="10" t="s">
        <v>290</v>
      </c>
      <c r="C28" s="10" t="s">
        <v>291</v>
      </c>
      <c r="D28" s="11">
        <v>1999</v>
      </c>
      <c r="E28" s="11">
        <v>29</v>
      </c>
    </row>
    <row r="29" spans="1:5" ht="15">
      <c r="A29" s="10">
        <v>30</v>
      </c>
      <c r="B29" s="10" t="s">
        <v>49</v>
      </c>
      <c r="C29" s="10" t="s">
        <v>249</v>
      </c>
      <c r="D29" s="11">
        <v>1999</v>
      </c>
      <c r="E29" s="11">
        <v>30</v>
      </c>
    </row>
    <row r="30" spans="1:5" ht="15">
      <c r="A30" s="10">
        <v>31</v>
      </c>
      <c r="B30" s="10" t="s">
        <v>178</v>
      </c>
      <c r="C30" s="10" t="s">
        <v>292</v>
      </c>
      <c r="D30" s="11">
        <v>1998</v>
      </c>
      <c r="E30" s="11">
        <v>31</v>
      </c>
    </row>
    <row r="31" spans="1:5" ht="15">
      <c r="A31" s="10">
        <v>32</v>
      </c>
      <c r="B31" s="10" t="s">
        <v>162</v>
      </c>
      <c r="C31" s="10" t="s">
        <v>220</v>
      </c>
      <c r="D31" s="11">
        <v>2001</v>
      </c>
      <c r="E31" s="11">
        <v>32</v>
      </c>
    </row>
    <row r="32" spans="1:5" ht="15">
      <c r="A32" s="10">
        <v>33</v>
      </c>
      <c r="B32" s="10" t="s">
        <v>66</v>
      </c>
      <c r="C32" s="10" t="s">
        <v>293</v>
      </c>
      <c r="D32" s="11">
        <v>1998</v>
      </c>
      <c r="E32" s="11">
        <v>33</v>
      </c>
    </row>
    <row r="33" spans="1:6" ht="15">
      <c r="A33" s="10">
        <v>36</v>
      </c>
      <c r="B33" s="10" t="s">
        <v>102</v>
      </c>
      <c r="C33" s="10" t="s">
        <v>220</v>
      </c>
      <c r="D33" s="11">
        <v>2002</v>
      </c>
      <c r="E33" s="11">
        <v>36</v>
      </c>
      <c r="F33" s="13"/>
    </row>
    <row r="34" spans="1:6" ht="15">
      <c r="A34" s="10">
        <v>37</v>
      </c>
      <c r="B34" s="10" t="s">
        <v>126</v>
      </c>
      <c r="C34" s="10" t="s">
        <v>221</v>
      </c>
      <c r="D34" s="11">
        <v>2001</v>
      </c>
      <c r="E34" s="11">
        <v>37.5</v>
      </c>
      <c r="F34" s="13"/>
    </row>
    <row r="35" spans="1:6" ht="15">
      <c r="A35" s="10">
        <v>38</v>
      </c>
      <c r="B35" s="10" t="s">
        <v>294</v>
      </c>
      <c r="C35" s="10" t="s">
        <v>295</v>
      </c>
      <c r="D35" s="11">
        <v>1999</v>
      </c>
      <c r="E35" s="11">
        <v>37.5</v>
      </c>
      <c r="F35" s="13"/>
    </row>
    <row r="36" spans="1:5" ht="15">
      <c r="A36" s="10">
        <v>39</v>
      </c>
      <c r="B36" s="10" t="s">
        <v>83</v>
      </c>
      <c r="C36" s="10" t="s">
        <v>296</v>
      </c>
      <c r="D36" s="11">
        <v>2002</v>
      </c>
      <c r="E36" s="11">
        <v>39</v>
      </c>
    </row>
    <row r="37" spans="1:6" ht="15">
      <c r="A37" s="10">
        <v>41</v>
      </c>
      <c r="B37" s="10" t="s">
        <v>247</v>
      </c>
      <c r="C37" s="10" t="s">
        <v>248</v>
      </c>
      <c r="D37" s="11">
        <v>1999</v>
      </c>
      <c r="E37" s="11">
        <v>41</v>
      </c>
      <c r="F37" s="13"/>
    </row>
    <row r="38" spans="1:6" ht="15">
      <c r="A38" s="10">
        <v>42</v>
      </c>
      <c r="B38" s="10" t="s">
        <v>297</v>
      </c>
      <c r="C38" s="10" t="s">
        <v>298</v>
      </c>
      <c r="D38" s="11">
        <v>2002</v>
      </c>
      <c r="E38" s="11">
        <v>42</v>
      </c>
      <c r="F38" s="15"/>
    </row>
    <row r="39" spans="1:5" ht="15">
      <c r="A39" s="10">
        <v>44</v>
      </c>
      <c r="B39" s="10" t="s">
        <v>189</v>
      </c>
      <c r="C39" s="10" t="s">
        <v>299</v>
      </c>
      <c r="D39" s="11">
        <v>1998</v>
      </c>
      <c r="E39" s="11">
        <v>44</v>
      </c>
    </row>
    <row r="40" spans="1:5" ht="15">
      <c r="A40" s="10">
        <v>45</v>
      </c>
      <c r="B40" s="10" t="s">
        <v>63</v>
      </c>
      <c r="C40" s="10" t="s">
        <v>221</v>
      </c>
      <c r="D40" s="11">
        <v>2002</v>
      </c>
      <c r="E40" s="11">
        <v>45</v>
      </c>
    </row>
    <row r="41" spans="1:6" ht="15">
      <c r="A41" s="10">
        <v>47</v>
      </c>
      <c r="B41" s="10" t="s">
        <v>173</v>
      </c>
      <c r="C41" s="10" t="s">
        <v>300</v>
      </c>
      <c r="D41" s="11">
        <v>1999</v>
      </c>
      <c r="E41" s="11">
        <v>47</v>
      </c>
      <c r="F41" s="13"/>
    </row>
    <row r="42" spans="1:5" ht="15">
      <c r="A42" s="10">
        <v>50</v>
      </c>
      <c r="B42" s="10" t="s">
        <v>201</v>
      </c>
      <c r="C42" s="10" t="s">
        <v>292</v>
      </c>
      <c r="D42" s="11">
        <v>1999</v>
      </c>
      <c r="E42" s="11">
        <v>49.5</v>
      </c>
    </row>
    <row r="43" spans="1:5" ht="15">
      <c r="A43" s="10">
        <v>52</v>
      </c>
      <c r="B43" s="10" t="s">
        <v>55</v>
      </c>
      <c r="C43" s="10" t="s">
        <v>301</v>
      </c>
      <c r="D43" s="11">
        <v>2002</v>
      </c>
      <c r="E43" s="11">
        <v>52</v>
      </c>
    </row>
    <row r="44" spans="1:5" ht="15">
      <c r="A44" s="10">
        <v>54</v>
      </c>
      <c r="B44" s="10" t="s">
        <v>302</v>
      </c>
      <c r="C44" s="10" t="s">
        <v>248</v>
      </c>
      <c r="D44" s="11">
        <v>1999</v>
      </c>
      <c r="E44" s="11">
        <v>54</v>
      </c>
    </row>
    <row r="45" spans="1:5" ht="15">
      <c r="A45" s="10">
        <v>57</v>
      </c>
      <c r="B45" s="10" t="s">
        <v>183</v>
      </c>
      <c r="C45" s="10" t="s">
        <v>249</v>
      </c>
      <c r="D45" s="11">
        <v>2000</v>
      </c>
      <c r="E45" s="11">
        <v>57</v>
      </c>
    </row>
    <row r="46" spans="1:5" ht="15">
      <c r="A46" s="10">
        <v>59</v>
      </c>
      <c r="B46" s="10" t="s">
        <v>151</v>
      </c>
      <c r="C46" s="10" t="s">
        <v>303</v>
      </c>
      <c r="D46" s="11">
        <v>2002</v>
      </c>
      <c r="E46" s="11">
        <v>59</v>
      </c>
    </row>
    <row r="47" spans="1:5" ht="15">
      <c r="A47" s="10">
        <v>60</v>
      </c>
      <c r="B47" s="10" t="s">
        <v>111</v>
      </c>
      <c r="C47" s="10" t="s">
        <v>304</v>
      </c>
      <c r="D47" s="11">
        <v>2000</v>
      </c>
      <c r="E47" s="11">
        <v>60</v>
      </c>
    </row>
    <row r="48" spans="1:6" ht="15">
      <c r="A48" s="10">
        <v>64</v>
      </c>
      <c r="B48" s="10" t="s">
        <v>114</v>
      </c>
      <c r="C48" s="10" t="s">
        <v>304</v>
      </c>
      <c r="D48" s="11">
        <v>2000</v>
      </c>
      <c r="E48" s="11">
        <v>64</v>
      </c>
      <c r="F48" s="13"/>
    </row>
    <row r="49" spans="1:5" ht="15">
      <c r="A49" s="10">
        <v>66</v>
      </c>
      <c r="B49" s="10" t="s">
        <v>305</v>
      </c>
      <c r="C49" s="10" t="s">
        <v>215</v>
      </c>
      <c r="D49" s="11">
        <v>2002</v>
      </c>
      <c r="E49" s="11">
        <v>66</v>
      </c>
    </row>
    <row r="50" spans="1:5" ht="15">
      <c r="A50" s="10">
        <v>70</v>
      </c>
      <c r="B50" s="10" t="s">
        <v>154</v>
      </c>
      <c r="C50" s="10" t="s">
        <v>293</v>
      </c>
      <c r="D50" s="11">
        <v>2001</v>
      </c>
      <c r="E50" s="11">
        <v>70</v>
      </c>
    </row>
    <row r="51" spans="1:5" ht="15">
      <c r="A51" s="10">
        <v>72</v>
      </c>
      <c r="B51" s="10" t="s">
        <v>306</v>
      </c>
      <c r="C51" s="10" t="s">
        <v>295</v>
      </c>
      <c r="D51" s="11">
        <v>1998</v>
      </c>
      <c r="E51" s="11">
        <v>70</v>
      </c>
    </row>
    <row r="52" spans="1:5" ht="15">
      <c r="A52" s="10">
        <v>73</v>
      </c>
      <c r="B52" s="10" t="s">
        <v>307</v>
      </c>
      <c r="C52" s="10" t="s">
        <v>295</v>
      </c>
      <c r="D52" s="11">
        <v>1999</v>
      </c>
      <c r="E52" s="11">
        <v>73</v>
      </c>
    </row>
    <row r="53" spans="1:5" ht="15">
      <c r="A53" s="10">
        <v>77</v>
      </c>
      <c r="B53" s="10" t="s">
        <v>308</v>
      </c>
      <c r="C53" s="10" t="s">
        <v>268</v>
      </c>
      <c r="D53" s="11">
        <v>1998</v>
      </c>
      <c r="E53" s="11">
        <v>999</v>
      </c>
    </row>
    <row r="54" spans="1:5" ht="15">
      <c r="A54" s="10">
        <v>83</v>
      </c>
      <c r="B54" s="10" t="s">
        <v>309</v>
      </c>
      <c r="C54" s="10" t="s">
        <v>220</v>
      </c>
      <c r="D54" s="11">
        <v>2002</v>
      </c>
      <c r="E54" s="11">
        <v>999</v>
      </c>
    </row>
    <row r="55" spans="1:5" ht="15">
      <c r="A55" s="10">
        <v>84</v>
      </c>
      <c r="B55" s="10" t="s">
        <v>310</v>
      </c>
      <c r="C55" s="10" t="s">
        <v>311</v>
      </c>
      <c r="D55" s="11">
        <v>2002</v>
      </c>
      <c r="E55" s="11">
        <v>999</v>
      </c>
    </row>
    <row r="56" spans="1:5" ht="15">
      <c r="A56" s="10">
        <v>85</v>
      </c>
      <c r="B56" s="10" t="s">
        <v>312</v>
      </c>
      <c r="C56" s="10" t="s">
        <v>292</v>
      </c>
      <c r="D56" s="11">
        <v>2002</v>
      </c>
      <c r="E56" s="11">
        <v>999</v>
      </c>
    </row>
    <row r="57" spans="1:5" ht="15">
      <c r="A57" s="10">
        <v>86</v>
      </c>
      <c r="B57" s="10" t="s">
        <v>313</v>
      </c>
      <c r="C57" s="10" t="s">
        <v>314</v>
      </c>
      <c r="D57" s="11">
        <v>2000</v>
      </c>
      <c r="E57" s="11">
        <v>999</v>
      </c>
    </row>
    <row r="58" spans="1:5" ht="15">
      <c r="A58" s="10" t="s">
        <v>78</v>
      </c>
      <c r="B58" s="10" t="s">
        <v>78</v>
      </c>
      <c r="C58" s="10" t="s">
        <v>78</v>
      </c>
      <c r="D58" s="11" t="s">
        <v>78</v>
      </c>
      <c r="E58" s="11" t="s">
        <v>78</v>
      </c>
    </row>
    <row r="59" spans="1:6" ht="15">
      <c r="A59" s="10" t="s">
        <v>78</v>
      </c>
      <c r="B59" s="10" t="s">
        <v>78</v>
      </c>
      <c r="C59" s="10" t="s">
        <v>78</v>
      </c>
      <c r="D59" s="11" t="s">
        <v>78</v>
      </c>
      <c r="E59" s="11" t="s">
        <v>78</v>
      </c>
      <c r="F59" s="13"/>
    </row>
    <row r="60" spans="1:5" ht="15">
      <c r="A60" s="10" t="s">
        <v>78</v>
      </c>
      <c r="B60" s="10" t="s">
        <v>78</v>
      </c>
      <c r="C60" s="10" t="s">
        <v>78</v>
      </c>
      <c r="D60" s="11" t="s">
        <v>78</v>
      </c>
      <c r="E60" s="11" t="s">
        <v>78</v>
      </c>
    </row>
    <row r="61" spans="1:5" ht="15">
      <c r="A61" s="10" t="s">
        <v>78</v>
      </c>
      <c r="B61" s="10" t="s">
        <v>78</v>
      </c>
      <c r="C61" s="10" t="s">
        <v>78</v>
      </c>
      <c r="D61" s="11" t="s">
        <v>78</v>
      </c>
      <c r="E61" s="11" t="s">
        <v>78</v>
      </c>
    </row>
    <row r="62" spans="1:5" ht="15">
      <c r="A62" s="10">
        <v>7</v>
      </c>
      <c r="B62" s="10" t="s">
        <v>80</v>
      </c>
      <c r="C62" s="10" t="s">
        <v>215</v>
      </c>
      <c r="D62" s="11">
        <v>1999</v>
      </c>
      <c r="E62" s="11">
        <v>7</v>
      </c>
    </row>
    <row r="63" spans="1:5" ht="15">
      <c r="A63" s="10" t="s">
        <v>78</v>
      </c>
      <c r="B63" s="10" t="s">
        <v>78</v>
      </c>
      <c r="C63" s="10" t="s">
        <v>78</v>
      </c>
      <c r="D63" s="11" t="s">
        <v>78</v>
      </c>
      <c r="E63" s="11" t="s">
        <v>78</v>
      </c>
    </row>
    <row r="64" spans="1:5" ht="15">
      <c r="A64" s="10" t="s">
        <v>78</v>
      </c>
      <c r="B64" s="10" t="s">
        <v>78</v>
      </c>
      <c r="C64" s="10" t="s">
        <v>78</v>
      </c>
      <c r="D64" s="11" t="s">
        <v>78</v>
      </c>
      <c r="E64" s="11" t="s">
        <v>78</v>
      </c>
    </row>
    <row r="65" spans="1:5" ht="15">
      <c r="A65" s="10" t="s">
        <v>78</v>
      </c>
      <c r="B65" s="10" t="s">
        <v>78</v>
      </c>
      <c r="C65" s="10" t="s">
        <v>78</v>
      </c>
      <c r="D65" s="11" t="s">
        <v>78</v>
      </c>
      <c r="E65" s="11" t="s">
        <v>78</v>
      </c>
    </row>
    <row r="66" spans="1:6" ht="15">
      <c r="A66" s="10" t="s">
        <v>78</v>
      </c>
      <c r="B66" s="10" t="s">
        <v>78</v>
      </c>
      <c r="C66" s="10" t="s">
        <v>78</v>
      </c>
      <c r="D66" s="11" t="s">
        <v>78</v>
      </c>
      <c r="E66" s="11" t="s">
        <v>78</v>
      </c>
      <c r="F66" s="13"/>
    </row>
    <row r="67" spans="1:5" ht="15">
      <c r="A67" s="10" t="s">
        <v>78</v>
      </c>
      <c r="B67" s="10" t="s">
        <v>78</v>
      </c>
      <c r="C67" s="10" t="s">
        <v>78</v>
      </c>
      <c r="D67" s="11" t="s">
        <v>78</v>
      </c>
      <c r="E67" s="11" t="s">
        <v>78</v>
      </c>
    </row>
    <row r="68" spans="1:5" ht="15">
      <c r="A68" s="10" t="s">
        <v>78</v>
      </c>
      <c r="B68" s="10" t="s">
        <v>78</v>
      </c>
      <c r="C68" s="10" t="s">
        <v>78</v>
      </c>
      <c r="D68" s="11" t="s">
        <v>78</v>
      </c>
      <c r="E68" s="11" t="s">
        <v>78</v>
      </c>
    </row>
    <row r="69" spans="1:6" ht="15">
      <c r="A69" s="10" t="s">
        <v>78</v>
      </c>
      <c r="B69" s="10" t="s">
        <v>78</v>
      </c>
      <c r="C69" s="10" t="s">
        <v>78</v>
      </c>
      <c r="D69" s="11" t="s">
        <v>78</v>
      </c>
      <c r="E69" s="11" t="s">
        <v>78</v>
      </c>
      <c r="F69" s="13"/>
    </row>
    <row r="70" spans="1:5" ht="15">
      <c r="A70" s="10" t="s">
        <v>78</v>
      </c>
      <c r="B70" s="10" t="s">
        <v>78</v>
      </c>
      <c r="C70" s="10" t="s">
        <v>78</v>
      </c>
      <c r="D70" s="11" t="s">
        <v>78</v>
      </c>
      <c r="E70" s="11" t="s">
        <v>78</v>
      </c>
    </row>
    <row r="71" spans="1:5" ht="15">
      <c r="A71" s="10" t="s">
        <v>78</v>
      </c>
      <c r="B71" s="10" t="s">
        <v>78</v>
      </c>
      <c r="C71" s="10" t="s">
        <v>78</v>
      </c>
      <c r="D71" s="11" t="s">
        <v>78</v>
      </c>
      <c r="E71" s="11" t="s">
        <v>78</v>
      </c>
    </row>
    <row r="72" spans="1:5" ht="15">
      <c r="A72" s="10" t="s">
        <v>78</v>
      </c>
      <c r="B72" s="10" t="s">
        <v>78</v>
      </c>
      <c r="C72" s="10" t="s">
        <v>78</v>
      </c>
      <c r="D72" s="11" t="s">
        <v>78</v>
      </c>
      <c r="E72" s="11" t="s">
        <v>78</v>
      </c>
    </row>
    <row r="73" spans="1:5" ht="15">
      <c r="A73" s="10" t="s">
        <v>78</v>
      </c>
      <c r="B73" s="10" t="s">
        <v>78</v>
      </c>
      <c r="C73" s="10" t="s">
        <v>78</v>
      </c>
      <c r="D73" s="11" t="s">
        <v>78</v>
      </c>
      <c r="E73" s="11" t="s">
        <v>78</v>
      </c>
    </row>
    <row r="74" spans="1:5" ht="15">
      <c r="A74" s="10" t="s">
        <v>78</v>
      </c>
      <c r="B74" s="10" t="s">
        <v>78</v>
      </c>
      <c r="C74" s="10" t="s">
        <v>78</v>
      </c>
      <c r="D74" s="11" t="s">
        <v>78</v>
      </c>
      <c r="E74" s="11" t="s">
        <v>78</v>
      </c>
    </row>
    <row r="75" spans="1:6" ht="15">
      <c r="A75" s="10" t="s">
        <v>78</v>
      </c>
      <c r="B75" s="10" t="s">
        <v>78</v>
      </c>
      <c r="C75" s="10" t="s">
        <v>78</v>
      </c>
      <c r="D75" s="11" t="s">
        <v>78</v>
      </c>
      <c r="E75" s="11" t="s">
        <v>78</v>
      </c>
      <c r="F75" s="13"/>
    </row>
    <row r="76" spans="1:5" ht="15">
      <c r="A76" s="10" t="s">
        <v>78</v>
      </c>
      <c r="B76" s="10" t="s">
        <v>78</v>
      </c>
      <c r="C76" s="10" t="s">
        <v>78</v>
      </c>
      <c r="D76" s="11" t="s">
        <v>78</v>
      </c>
      <c r="E76" s="11" t="s">
        <v>78</v>
      </c>
    </row>
    <row r="77" spans="1:5" ht="15">
      <c r="A77" s="10" t="s">
        <v>78</v>
      </c>
      <c r="B77" s="10" t="s">
        <v>78</v>
      </c>
      <c r="C77" s="10" t="s">
        <v>78</v>
      </c>
      <c r="D77" s="11" t="s">
        <v>78</v>
      </c>
      <c r="E77" s="11" t="s">
        <v>78</v>
      </c>
    </row>
    <row r="78" spans="1:5" ht="15">
      <c r="A78" s="10" t="s">
        <v>78</v>
      </c>
      <c r="B78" s="10" t="s">
        <v>78</v>
      </c>
      <c r="C78" s="10" t="s">
        <v>78</v>
      </c>
      <c r="D78" s="11" t="s">
        <v>78</v>
      </c>
      <c r="E78" s="11" t="s">
        <v>78</v>
      </c>
    </row>
    <row r="79" spans="1:5" ht="15">
      <c r="A79" s="10" t="s">
        <v>78</v>
      </c>
      <c r="B79" s="10" t="s">
        <v>78</v>
      </c>
      <c r="C79" s="10" t="s">
        <v>78</v>
      </c>
      <c r="D79" s="11" t="s">
        <v>78</v>
      </c>
      <c r="E79" s="11" t="s">
        <v>78</v>
      </c>
    </row>
    <row r="80" spans="1:5" ht="15">
      <c r="A80" s="10" t="s">
        <v>78</v>
      </c>
      <c r="B80" s="10" t="s">
        <v>78</v>
      </c>
      <c r="C80" s="10" t="s">
        <v>78</v>
      </c>
      <c r="D80" s="11" t="s">
        <v>78</v>
      </c>
      <c r="E80" s="11" t="s">
        <v>78</v>
      </c>
    </row>
    <row r="81" spans="1:5" ht="15">
      <c r="A81" s="10" t="s">
        <v>78</v>
      </c>
      <c r="B81" s="10" t="s">
        <v>78</v>
      </c>
      <c r="C81" s="10" t="s">
        <v>78</v>
      </c>
      <c r="D81" s="11" t="s">
        <v>78</v>
      </c>
      <c r="E81" s="11" t="s">
        <v>78</v>
      </c>
    </row>
    <row r="82" spans="1:6" ht="15">
      <c r="A82" s="10" t="s">
        <v>78</v>
      </c>
      <c r="B82" s="10" t="s">
        <v>78</v>
      </c>
      <c r="C82" s="10" t="s">
        <v>78</v>
      </c>
      <c r="D82" s="11" t="s">
        <v>78</v>
      </c>
      <c r="E82" s="11" t="s">
        <v>78</v>
      </c>
      <c r="F82" s="13"/>
    </row>
    <row r="83" spans="1:5" ht="15">
      <c r="A83" s="10" t="s">
        <v>78</v>
      </c>
      <c r="B83" s="10" t="s">
        <v>78</v>
      </c>
      <c r="C83" s="10" t="s">
        <v>78</v>
      </c>
      <c r="D83" s="11" t="s">
        <v>78</v>
      </c>
      <c r="E83" s="11" t="s">
        <v>78</v>
      </c>
    </row>
    <row r="84" spans="1:5" ht="15">
      <c r="A84" s="10" t="s">
        <v>78</v>
      </c>
      <c r="B84" s="10" t="s">
        <v>78</v>
      </c>
      <c r="C84" s="10" t="s">
        <v>78</v>
      </c>
      <c r="D84" s="11" t="s">
        <v>78</v>
      </c>
      <c r="E84" s="11" t="s">
        <v>78</v>
      </c>
    </row>
    <row r="85" spans="1:6" ht="15">
      <c r="A85" s="10" t="s">
        <v>78</v>
      </c>
      <c r="B85" s="10" t="s">
        <v>78</v>
      </c>
      <c r="C85" s="10" t="s">
        <v>78</v>
      </c>
      <c r="D85" s="11" t="s">
        <v>78</v>
      </c>
      <c r="E85" s="11" t="s">
        <v>78</v>
      </c>
      <c r="F85" s="13"/>
    </row>
    <row r="86" spans="1:5" ht="15">
      <c r="A86" s="10" t="s">
        <v>78</v>
      </c>
      <c r="B86" s="10" t="s">
        <v>78</v>
      </c>
      <c r="C86" s="10" t="s">
        <v>78</v>
      </c>
      <c r="D86" s="11" t="s">
        <v>78</v>
      </c>
      <c r="E86" s="11" t="s">
        <v>78</v>
      </c>
    </row>
    <row r="87" spans="1:5" ht="15">
      <c r="A87" s="10" t="s">
        <v>78</v>
      </c>
      <c r="B87" s="10" t="s">
        <v>78</v>
      </c>
      <c r="C87" s="10" t="s">
        <v>78</v>
      </c>
      <c r="D87" s="11" t="s">
        <v>78</v>
      </c>
      <c r="E87" s="11" t="s">
        <v>78</v>
      </c>
    </row>
    <row r="88" spans="1:5" ht="15">
      <c r="A88" s="10" t="s">
        <v>78</v>
      </c>
      <c r="B88" s="10" t="s">
        <v>78</v>
      </c>
      <c r="C88" s="10" t="s">
        <v>78</v>
      </c>
      <c r="D88" s="11" t="s">
        <v>78</v>
      </c>
      <c r="E88" s="11" t="s">
        <v>78</v>
      </c>
    </row>
    <row r="89" spans="1:5" ht="15">
      <c r="A89" s="10" t="s">
        <v>78</v>
      </c>
      <c r="B89" s="10" t="s">
        <v>78</v>
      </c>
      <c r="C89" s="10" t="s">
        <v>78</v>
      </c>
      <c r="D89" s="11" t="s">
        <v>78</v>
      </c>
      <c r="E89" s="11" t="s">
        <v>78</v>
      </c>
    </row>
    <row r="90" spans="1:5" ht="15">
      <c r="A90" s="10" t="s">
        <v>78</v>
      </c>
      <c r="B90" s="10" t="s">
        <v>78</v>
      </c>
      <c r="C90" s="10" t="s">
        <v>78</v>
      </c>
      <c r="D90" s="11" t="s">
        <v>78</v>
      </c>
      <c r="E90" s="11" t="s">
        <v>78</v>
      </c>
    </row>
    <row r="91" spans="1:5" ht="15">
      <c r="A91" s="10" t="s">
        <v>78</v>
      </c>
      <c r="B91" s="10" t="s">
        <v>78</v>
      </c>
      <c r="C91" s="10" t="s">
        <v>78</v>
      </c>
      <c r="D91" s="11" t="s">
        <v>78</v>
      </c>
      <c r="E91" s="11" t="s">
        <v>78</v>
      </c>
    </row>
    <row r="92" spans="1:5" ht="15">
      <c r="A92" s="10" t="s">
        <v>78</v>
      </c>
      <c r="B92" s="10" t="s">
        <v>78</v>
      </c>
      <c r="C92" s="10" t="s">
        <v>78</v>
      </c>
      <c r="D92" s="11" t="s">
        <v>78</v>
      </c>
      <c r="E92" s="11" t="s">
        <v>78</v>
      </c>
    </row>
    <row r="93" spans="1:5" ht="15">
      <c r="A93" s="10" t="s">
        <v>78</v>
      </c>
      <c r="B93" s="10" t="s">
        <v>78</v>
      </c>
      <c r="C93" s="10" t="s">
        <v>78</v>
      </c>
      <c r="D93" s="11" t="s">
        <v>78</v>
      </c>
      <c r="E93" s="11" t="s">
        <v>78</v>
      </c>
    </row>
    <row r="94" spans="1:5" ht="15">
      <c r="A94" s="10" t="s">
        <v>78</v>
      </c>
      <c r="B94" s="10" t="s">
        <v>78</v>
      </c>
      <c r="C94" s="10" t="s">
        <v>78</v>
      </c>
      <c r="D94" s="11" t="s">
        <v>78</v>
      </c>
      <c r="E94" s="11" t="s">
        <v>78</v>
      </c>
    </row>
    <row r="95" spans="1:5" ht="15">
      <c r="A95" s="10" t="s">
        <v>78</v>
      </c>
      <c r="B95" s="10" t="s">
        <v>78</v>
      </c>
      <c r="C95" s="10" t="s">
        <v>78</v>
      </c>
      <c r="D95" s="11" t="s">
        <v>78</v>
      </c>
      <c r="E95" s="11" t="s">
        <v>78</v>
      </c>
    </row>
    <row r="96" spans="1:5" ht="15">
      <c r="A96" s="10" t="s">
        <v>78</v>
      </c>
      <c r="B96" s="10" t="s">
        <v>78</v>
      </c>
      <c r="C96" s="10" t="s">
        <v>78</v>
      </c>
      <c r="D96" s="11" t="s">
        <v>78</v>
      </c>
      <c r="E96" s="11" t="s">
        <v>78</v>
      </c>
    </row>
    <row r="97" spans="1:5" ht="15">
      <c r="A97" s="10" t="s">
        <v>78</v>
      </c>
      <c r="B97" s="10" t="s">
        <v>78</v>
      </c>
      <c r="C97" s="10" t="s">
        <v>78</v>
      </c>
      <c r="D97" s="11" t="s">
        <v>78</v>
      </c>
      <c r="E97" s="11" t="s">
        <v>78</v>
      </c>
    </row>
    <row r="98" spans="1:5" ht="15">
      <c r="A98" s="10" t="s">
        <v>78</v>
      </c>
      <c r="B98" s="10" t="s">
        <v>78</v>
      </c>
      <c r="C98" s="10" t="s">
        <v>78</v>
      </c>
      <c r="D98" s="11" t="s">
        <v>78</v>
      </c>
      <c r="E98" s="11" t="s">
        <v>78</v>
      </c>
    </row>
    <row r="99" spans="1:5" ht="15">
      <c r="A99" s="10" t="s">
        <v>78</v>
      </c>
      <c r="B99" s="10" t="s">
        <v>78</v>
      </c>
      <c r="C99" s="10" t="s">
        <v>78</v>
      </c>
      <c r="D99" s="11" t="s">
        <v>78</v>
      </c>
      <c r="E99" s="11" t="s">
        <v>78</v>
      </c>
    </row>
    <row r="100" spans="1:5" ht="15">
      <c r="A100" s="10" t="s">
        <v>78</v>
      </c>
      <c r="B100" s="10" t="s">
        <v>78</v>
      </c>
      <c r="C100" s="10" t="s">
        <v>78</v>
      </c>
      <c r="D100" s="11" t="s">
        <v>78</v>
      </c>
      <c r="E100" s="11" t="s">
        <v>78</v>
      </c>
    </row>
    <row r="101" spans="1:5" ht="15">
      <c r="A101" s="10" t="s">
        <v>78</v>
      </c>
      <c r="B101" s="10" t="s">
        <v>78</v>
      </c>
      <c r="C101" s="10" t="s">
        <v>78</v>
      </c>
      <c r="D101" s="11" t="s">
        <v>78</v>
      </c>
      <c r="E101" s="11" t="s">
        <v>78</v>
      </c>
    </row>
    <row r="102" spans="1:5" ht="15">
      <c r="A102" s="10" t="s">
        <v>78</v>
      </c>
      <c r="B102" s="10" t="s">
        <v>78</v>
      </c>
      <c r="C102" s="10" t="s">
        <v>78</v>
      </c>
      <c r="D102" s="11" t="s">
        <v>78</v>
      </c>
      <c r="E102" s="11" t="s">
        <v>78</v>
      </c>
    </row>
    <row r="103" spans="1:5" ht="15">
      <c r="A103" s="10" t="s">
        <v>78</v>
      </c>
      <c r="B103" s="10" t="s">
        <v>78</v>
      </c>
      <c r="C103" s="10" t="s">
        <v>78</v>
      </c>
      <c r="D103" s="11" t="s">
        <v>78</v>
      </c>
      <c r="E103" s="11" t="s">
        <v>78</v>
      </c>
    </row>
    <row r="104" spans="1:5" ht="15">
      <c r="A104" s="10" t="s">
        <v>78</v>
      </c>
      <c r="B104" s="10" t="s">
        <v>78</v>
      </c>
      <c r="C104" s="10" t="s">
        <v>78</v>
      </c>
      <c r="D104" s="11" t="s">
        <v>78</v>
      </c>
      <c r="E104" s="11" t="s">
        <v>78</v>
      </c>
    </row>
    <row r="105" spans="1:5" ht="15">
      <c r="A105" s="10" t="s">
        <v>78</v>
      </c>
      <c r="B105" s="10" t="s">
        <v>78</v>
      </c>
      <c r="C105" s="10" t="s">
        <v>78</v>
      </c>
      <c r="D105" s="11" t="s">
        <v>78</v>
      </c>
      <c r="E105" s="11" t="s">
        <v>78</v>
      </c>
    </row>
    <row r="106" spans="1:5" ht="15">
      <c r="A106" s="10" t="s">
        <v>78</v>
      </c>
      <c r="B106" s="10" t="s">
        <v>78</v>
      </c>
      <c r="C106" s="10" t="s">
        <v>78</v>
      </c>
      <c r="D106" s="11" t="s">
        <v>78</v>
      </c>
      <c r="E106" s="11" t="s">
        <v>78</v>
      </c>
    </row>
    <row r="107" spans="1:5" ht="15">
      <c r="A107" s="10" t="s">
        <v>78</v>
      </c>
      <c r="B107" s="10" t="s">
        <v>78</v>
      </c>
      <c r="C107" s="10" t="s">
        <v>78</v>
      </c>
      <c r="D107" s="11" t="s">
        <v>78</v>
      </c>
      <c r="E107" s="11" t="s">
        <v>78</v>
      </c>
    </row>
    <row r="108" spans="1:5" ht="15">
      <c r="A108" s="10" t="s">
        <v>78</v>
      </c>
      <c r="B108" s="10" t="s">
        <v>78</v>
      </c>
      <c r="C108" s="10" t="s">
        <v>78</v>
      </c>
      <c r="D108" s="11" t="s">
        <v>78</v>
      </c>
      <c r="E108" s="11" t="s">
        <v>78</v>
      </c>
    </row>
    <row r="109" spans="1:5" ht="15">
      <c r="A109" s="10" t="s">
        <v>78</v>
      </c>
      <c r="B109" s="10" t="s">
        <v>78</v>
      </c>
      <c r="C109" s="10" t="s">
        <v>78</v>
      </c>
      <c r="D109" s="11" t="s">
        <v>78</v>
      </c>
      <c r="E109" s="11" t="s">
        <v>78</v>
      </c>
    </row>
    <row r="110" spans="1:5" ht="15">
      <c r="A110" s="10" t="s">
        <v>78</v>
      </c>
      <c r="B110" s="10" t="s">
        <v>78</v>
      </c>
      <c r="C110" s="10" t="s">
        <v>78</v>
      </c>
      <c r="D110" s="11" t="s">
        <v>78</v>
      </c>
      <c r="E110" s="11" t="s">
        <v>78</v>
      </c>
    </row>
    <row r="111" spans="1:5" ht="15">
      <c r="A111" s="10" t="s">
        <v>78</v>
      </c>
      <c r="B111" s="10" t="s">
        <v>78</v>
      </c>
      <c r="C111" s="10" t="s">
        <v>78</v>
      </c>
      <c r="D111" s="11" t="s">
        <v>78</v>
      </c>
      <c r="E111" s="11" t="s">
        <v>78</v>
      </c>
    </row>
    <row r="112" spans="1:5" ht="15">
      <c r="A112" s="10" t="s">
        <v>78</v>
      </c>
      <c r="B112" s="10" t="s">
        <v>78</v>
      </c>
      <c r="C112" s="10" t="s">
        <v>78</v>
      </c>
      <c r="D112" s="11" t="s">
        <v>78</v>
      </c>
      <c r="E112" s="11" t="s">
        <v>78</v>
      </c>
    </row>
    <row r="113" spans="1:5" ht="15">
      <c r="A113" s="10" t="s">
        <v>78</v>
      </c>
      <c r="B113" s="10" t="s">
        <v>78</v>
      </c>
      <c r="C113" s="10" t="s">
        <v>78</v>
      </c>
      <c r="D113" s="11" t="s">
        <v>78</v>
      </c>
      <c r="E113" s="11" t="s">
        <v>78</v>
      </c>
    </row>
    <row r="114" spans="1:5" ht="15">
      <c r="A114" s="10" t="s">
        <v>78</v>
      </c>
      <c r="B114" s="10" t="s">
        <v>78</v>
      </c>
      <c r="C114" s="10" t="s">
        <v>78</v>
      </c>
      <c r="D114" s="11" t="s">
        <v>78</v>
      </c>
      <c r="E114" s="11" t="s">
        <v>78</v>
      </c>
    </row>
    <row r="115" spans="1:5" ht="15">
      <c r="A115" s="10" t="s">
        <v>78</v>
      </c>
      <c r="B115" s="10" t="s">
        <v>78</v>
      </c>
      <c r="C115" s="10" t="s">
        <v>78</v>
      </c>
      <c r="D115" s="11" t="s">
        <v>78</v>
      </c>
      <c r="E115" s="11" t="s">
        <v>78</v>
      </c>
    </row>
    <row r="116" spans="1:5" ht="15">
      <c r="A116" s="10" t="s">
        <v>78</v>
      </c>
      <c r="B116" s="10" t="s">
        <v>78</v>
      </c>
      <c r="C116" s="10" t="s">
        <v>78</v>
      </c>
      <c r="D116" s="11" t="s">
        <v>78</v>
      </c>
      <c r="E116" s="11" t="s">
        <v>78</v>
      </c>
    </row>
    <row r="117" spans="1:5" ht="15">
      <c r="A117" s="10" t="s">
        <v>78</v>
      </c>
      <c r="B117" s="10" t="s">
        <v>78</v>
      </c>
      <c r="C117" s="10" t="s">
        <v>78</v>
      </c>
      <c r="D117" s="11" t="s">
        <v>78</v>
      </c>
      <c r="E117" s="11" t="s">
        <v>78</v>
      </c>
    </row>
    <row r="118" spans="1:5" ht="15">
      <c r="A118" s="10" t="s">
        <v>78</v>
      </c>
      <c r="B118" s="10" t="s">
        <v>78</v>
      </c>
      <c r="C118" s="10" t="s">
        <v>78</v>
      </c>
      <c r="D118" s="11" t="s">
        <v>78</v>
      </c>
      <c r="E118" s="11" t="s">
        <v>78</v>
      </c>
    </row>
    <row r="119" spans="1:5" ht="15">
      <c r="A119" s="10" t="s">
        <v>78</v>
      </c>
      <c r="B119" s="10" t="s">
        <v>78</v>
      </c>
      <c r="C119" s="10" t="s">
        <v>78</v>
      </c>
      <c r="D119" s="11" t="s">
        <v>78</v>
      </c>
      <c r="E119" s="11" t="s">
        <v>78</v>
      </c>
    </row>
    <row r="120" spans="1:5" ht="15">
      <c r="A120" s="10" t="s">
        <v>78</v>
      </c>
      <c r="B120" s="10" t="s">
        <v>78</v>
      </c>
      <c r="C120" s="10" t="s">
        <v>78</v>
      </c>
      <c r="D120" s="11" t="s">
        <v>78</v>
      </c>
      <c r="E120" s="11" t="s">
        <v>78</v>
      </c>
    </row>
    <row r="121" spans="1:5" ht="15">
      <c r="A121" s="10" t="s">
        <v>78</v>
      </c>
      <c r="B121" s="10" t="s">
        <v>78</v>
      </c>
      <c r="C121" s="10" t="s">
        <v>78</v>
      </c>
      <c r="D121" s="11" t="s">
        <v>78</v>
      </c>
      <c r="E121" s="11" t="s">
        <v>78</v>
      </c>
    </row>
    <row r="122" spans="1:5" ht="15">
      <c r="A122" s="10" t="s">
        <v>78</v>
      </c>
      <c r="B122" s="10" t="s">
        <v>78</v>
      </c>
      <c r="C122" s="10" t="s">
        <v>78</v>
      </c>
      <c r="D122" s="11" t="s">
        <v>78</v>
      </c>
      <c r="E122" s="11" t="s">
        <v>78</v>
      </c>
    </row>
    <row r="123" spans="1:5" ht="15">
      <c r="A123" s="10" t="s">
        <v>78</v>
      </c>
      <c r="B123" s="10" t="s">
        <v>78</v>
      </c>
      <c r="C123" s="10" t="s">
        <v>78</v>
      </c>
      <c r="D123" s="11" t="s">
        <v>78</v>
      </c>
      <c r="E123" s="11" t="s">
        <v>78</v>
      </c>
    </row>
    <row r="124" spans="1:5" ht="15">
      <c r="A124" s="10" t="s">
        <v>78</v>
      </c>
      <c r="B124" s="10" t="s">
        <v>78</v>
      </c>
      <c r="C124" s="10" t="s">
        <v>78</v>
      </c>
      <c r="D124" s="11" t="s">
        <v>78</v>
      </c>
      <c r="E124" s="11" t="s">
        <v>78</v>
      </c>
    </row>
    <row r="125" spans="1:5" ht="15">
      <c r="A125" s="10" t="s">
        <v>78</v>
      </c>
      <c r="B125" s="10" t="s">
        <v>78</v>
      </c>
      <c r="C125" s="10" t="s">
        <v>78</v>
      </c>
      <c r="D125" s="11" t="s">
        <v>78</v>
      </c>
      <c r="E125" s="11" t="s">
        <v>78</v>
      </c>
    </row>
    <row r="126" spans="1:6" ht="15">
      <c r="A126" s="10" t="s">
        <v>78</v>
      </c>
      <c r="B126" s="10" t="s">
        <v>78</v>
      </c>
      <c r="C126" s="10" t="s">
        <v>78</v>
      </c>
      <c r="D126" s="11" t="s">
        <v>78</v>
      </c>
      <c r="E126" s="11" t="s">
        <v>78</v>
      </c>
      <c r="F126" s="13"/>
    </row>
    <row r="127" spans="1:5" ht="15">
      <c r="A127" s="10" t="s">
        <v>78</v>
      </c>
      <c r="B127" s="10" t="s">
        <v>78</v>
      </c>
      <c r="C127" s="10" t="s">
        <v>78</v>
      </c>
      <c r="D127" s="11" t="s">
        <v>78</v>
      </c>
      <c r="E127" s="11" t="s">
        <v>78</v>
      </c>
    </row>
    <row r="128" spans="1:5" ht="15">
      <c r="A128" s="10" t="s">
        <v>78</v>
      </c>
      <c r="B128" s="10" t="s">
        <v>78</v>
      </c>
      <c r="C128" s="10" t="s">
        <v>78</v>
      </c>
      <c r="D128" s="11" t="s">
        <v>78</v>
      </c>
      <c r="E128" s="11" t="s">
        <v>78</v>
      </c>
    </row>
    <row r="129" spans="1:5" ht="15">
      <c r="A129" s="10" t="s">
        <v>78</v>
      </c>
      <c r="B129" s="10" t="s">
        <v>78</v>
      </c>
      <c r="C129" s="10" t="s">
        <v>78</v>
      </c>
      <c r="D129" s="11" t="s">
        <v>78</v>
      </c>
      <c r="E129" s="11" t="s">
        <v>78</v>
      </c>
    </row>
    <row r="130" spans="1:5" ht="15">
      <c r="A130" s="10" t="s">
        <v>78</v>
      </c>
      <c r="B130" s="10" t="s">
        <v>78</v>
      </c>
      <c r="C130" s="10" t="s">
        <v>78</v>
      </c>
      <c r="D130" s="11" t="s">
        <v>78</v>
      </c>
      <c r="E130" s="11" t="s">
        <v>78</v>
      </c>
    </row>
    <row r="131" spans="1:5" ht="15">
      <c r="A131" s="10" t="s">
        <v>78</v>
      </c>
      <c r="B131" s="10" t="s">
        <v>78</v>
      </c>
      <c r="C131" s="10" t="s">
        <v>78</v>
      </c>
      <c r="D131" s="11" t="s">
        <v>78</v>
      </c>
      <c r="E131" s="11" t="s">
        <v>78</v>
      </c>
    </row>
    <row r="132" spans="1:5" ht="15">
      <c r="A132" s="10" t="s">
        <v>78</v>
      </c>
      <c r="B132" s="10" t="s">
        <v>78</v>
      </c>
      <c r="C132" s="10" t="s">
        <v>78</v>
      </c>
      <c r="D132" s="11" t="s">
        <v>78</v>
      </c>
      <c r="E132" s="11" t="s">
        <v>78</v>
      </c>
    </row>
    <row r="133" spans="1:5" ht="15">
      <c r="A133" s="10" t="s">
        <v>78</v>
      </c>
      <c r="B133" s="10" t="s">
        <v>78</v>
      </c>
      <c r="C133" s="10" t="s">
        <v>78</v>
      </c>
      <c r="D133" s="11" t="s">
        <v>78</v>
      </c>
      <c r="E133" s="11" t="s">
        <v>78</v>
      </c>
    </row>
    <row r="134" spans="1:5" ht="15">
      <c r="A134" s="10" t="s">
        <v>78</v>
      </c>
      <c r="B134" s="10" t="s">
        <v>78</v>
      </c>
      <c r="C134" s="10" t="s">
        <v>78</v>
      </c>
      <c r="D134" s="11" t="s">
        <v>78</v>
      </c>
      <c r="E134" s="11" t="s">
        <v>78</v>
      </c>
    </row>
    <row r="135" spans="1:5" ht="15">
      <c r="A135" s="10" t="s">
        <v>78</v>
      </c>
      <c r="B135" s="10" t="s">
        <v>78</v>
      </c>
      <c r="C135" s="10" t="s">
        <v>78</v>
      </c>
      <c r="D135" s="11" t="s">
        <v>78</v>
      </c>
      <c r="E135" s="11" t="s">
        <v>78</v>
      </c>
    </row>
    <row r="136" spans="1:5" ht="15">
      <c r="A136" s="10" t="s">
        <v>78</v>
      </c>
      <c r="B136" s="10" t="s">
        <v>78</v>
      </c>
      <c r="C136" s="10" t="s">
        <v>78</v>
      </c>
      <c r="D136" s="11" t="s">
        <v>78</v>
      </c>
      <c r="E136" s="11" t="s">
        <v>78</v>
      </c>
    </row>
    <row r="137" spans="1:5" ht="15">
      <c r="A137" s="10" t="s">
        <v>78</v>
      </c>
      <c r="B137" s="10" t="s">
        <v>78</v>
      </c>
      <c r="C137" s="10" t="s">
        <v>78</v>
      </c>
      <c r="D137" s="11" t="s">
        <v>78</v>
      </c>
      <c r="E137" s="11" t="s">
        <v>78</v>
      </c>
    </row>
    <row r="138" spans="1:5" ht="15">
      <c r="A138" s="10" t="s">
        <v>78</v>
      </c>
      <c r="B138" s="10" t="s">
        <v>78</v>
      </c>
      <c r="C138" s="10" t="s">
        <v>78</v>
      </c>
      <c r="D138" s="11" t="s">
        <v>78</v>
      </c>
      <c r="E138" s="11" t="s">
        <v>78</v>
      </c>
    </row>
    <row r="139" spans="1:5" ht="15">
      <c r="A139" s="10" t="s">
        <v>78</v>
      </c>
      <c r="B139" s="10" t="s">
        <v>78</v>
      </c>
      <c r="C139" s="10" t="s">
        <v>78</v>
      </c>
      <c r="D139" s="11" t="s">
        <v>78</v>
      </c>
      <c r="E139" s="11" t="s">
        <v>78</v>
      </c>
    </row>
    <row r="140" spans="1:5" ht="15">
      <c r="A140" s="10" t="s">
        <v>78</v>
      </c>
      <c r="B140" s="10" t="s">
        <v>78</v>
      </c>
      <c r="C140" s="10" t="s">
        <v>78</v>
      </c>
      <c r="D140" s="11" t="s">
        <v>78</v>
      </c>
      <c r="E140" s="11" t="s">
        <v>78</v>
      </c>
    </row>
    <row r="141" spans="1:5" ht="15">
      <c r="A141" s="10" t="s">
        <v>78</v>
      </c>
      <c r="B141" s="10" t="s">
        <v>78</v>
      </c>
      <c r="C141" s="10" t="s">
        <v>78</v>
      </c>
      <c r="D141" s="11" t="s">
        <v>78</v>
      </c>
      <c r="E141" s="11" t="s">
        <v>78</v>
      </c>
    </row>
    <row r="142" spans="1:5" ht="15">
      <c r="A142" s="10" t="s">
        <v>78</v>
      </c>
      <c r="B142" s="10" t="s">
        <v>78</v>
      </c>
      <c r="C142" s="10" t="s">
        <v>78</v>
      </c>
      <c r="D142" s="11" t="s">
        <v>78</v>
      </c>
      <c r="E142" s="11" t="s">
        <v>78</v>
      </c>
    </row>
    <row r="143" spans="1:5" ht="15">
      <c r="A143" s="10" t="s">
        <v>78</v>
      </c>
      <c r="B143" s="10" t="s">
        <v>78</v>
      </c>
      <c r="C143" s="10" t="s">
        <v>78</v>
      </c>
      <c r="D143" s="11" t="s">
        <v>78</v>
      </c>
      <c r="E143" s="11" t="s">
        <v>78</v>
      </c>
    </row>
    <row r="144" spans="1:5" ht="15">
      <c r="A144" s="10" t="s">
        <v>78</v>
      </c>
      <c r="B144" s="10" t="s">
        <v>78</v>
      </c>
      <c r="C144" s="10" t="s">
        <v>78</v>
      </c>
      <c r="D144" s="11" t="s">
        <v>78</v>
      </c>
      <c r="E144" s="11" t="s">
        <v>78</v>
      </c>
    </row>
    <row r="145" spans="1:5" ht="15">
      <c r="A145" s="10" t="s">
        <v>78</v>
      </c>
      <c r="B145" s="10" t="s">
        <v>78</v>
      </c>
      <c r="C145" s="10" t="s">
        <v>78</v>
      </c>
      <c r="D145" s="11" t="s">
        <v>78</v>
      </c>
      <c r="E145" s="11" t="s">
        <v>78</v>
      </c>
    </row>
    <row r="146" spans="1:5" ht="15">
      <c r="A146" s="10" t="s">
        <v>78</v>
      </c>
      <c r="B146" s="10" t="s">
        <v>78</v>
      </c>
      <c r="C146" s="10" t="s">
        <v>78</v>
      </c>
      <c r="D146" s="11" t="s">
        <v>78</v>
      </c>
      <c r="E146" s="11" t="s">
        <v>78</v>
      </c>
    </row>
    <row r="147" spans="1:5" ht="15">
      <c r="A147" s="10" t="s">
        <v>78</v>
      </c>
      <c r="B147" s="10" t="s">
        <v>78</v>
      </c>
      <c r="C147" s="10" t="s">
        <v>78</v>
      </c>
      <c r="D147" s="11" t="s">
        <v>78</v>
      </c>
      <c r="E147" s="11" t="s">
        <v>78</v>
      </c>
    </row>
    <row r="148" spans="1:5" ht="15">
      <c r="A148" s="10" t="s">
        <v>78</v>
      </c>
      <c r="B148" s="10" t="s">
        <v>78</v>
      </c>
      <c r="C148" s="10" t="s">
        <v>78</v>
      </c>
      <c r="D148" s="11" t="s">
        <v>78</v>
      </c>
      <c r="E148" s="11" t="s">
        <v>78</v>
      </c>
    </row>
    <row r="149" spans="1:5" ht="15">
      <c r="A149" s="10" t="s">
        <v>78</v>
      </c>
      <c r="B149" s="10" t="s">
        <v>78</v>
      </c>
      <c r="C149" s="10" t="s">
        <v>78</v>
      </c>
      <c r="D149" s="11" t="s">
        <v>78</v>
      </c>
      <c r="E149" s="11" t="s">
        <v>78</v>
      </c>
    </row>
    <row r="150" spans="1:5" ht="15">
      <c r="A150" s="10" t="s">
        <v>78</v>
      </c>
      <c r="B150" s="10" t="s">
        <v>78</v>
      </c>
      <c r="C150" s="10" t="s">
        <v>78</v>
      </c>
      <c r="D150" s="11" t="s">
        <v>78</v>
      </c>
      <c r="E150" s="11" t="s">
        <v>78</v>
      </c>
    </row>
    <row r="151" spans="1:5" ht="15">
      <c r="A151" s="10" t="s">
        <v>78</v>
      </c>
      <c r="B151" s="10" t="s">
        <v>78</v>
      </c>
      <c r="C151" s="10" t="s">
        <v>78</v>
      </c>
      <c r="D151" s="11" t="s">
        <v>78</v>
      </c>
      <c r="E151" s="11" t="s">
        <v>78</v>
      </c>
    </row>
    <row r="152" spans="1:5" ht="15">
      <c r="A152" s="10" t="s">
        <v>78</v>
      </c>
      <c r="B152" s="10" t="s">
        <v>78</v>
      </c>
      <c r="C152" s="10" t="s">
        <v>78</v>
      </c>
      <c r="D152" s="11" t="s">
        <v>78</v>
      </c>
      <c r="E152" s="11" t="s">
        <v>78</v>
      </c>
    </row>
    <row r="153" spans="1:5" ht="15">
      <c r="A153" s="10" t="s">
        <v>78</v>
      </c>
      <c r="B153" s="10" t="s">
        <v>78</v>
      </c>
      <c r="C153" s="10" t="s">
        <v>78</v>
      </c>
      <c r="D153" s="11" t="s">
        <v>78</v>
      </c>
      <c r="E153" s="11" t="s">
        <v>78</v>
      </c>
    </row>
    <row r="154" spans="1:5" ht="15">
      <c r="A154" s="10" t="s">
        <v>78</v>
      </c>
      <c r="B154" s="10" t="s">
        <v>78</v>
      </c>
      <c r="C154" s="10" t="s">
        <v>78</v>
      </c>
      <c r="D154" s="11" t="s">
        <v>78</v>
      </c>
      <c r="E154" s="11" t="s">
        <v>78</v>
      </c>
    </row>
    <row r="155" spans="1:5" ht="15">
      <c r="A155" s="10" t="s">
        <v>78</v>
      </c>
      <c r="B155" s="10" t="s">
        <v>78</v>
      </c>
      <c r="C155" s="10" t="s">
        <v>78</v>
      </c>
      <c r="D155" s="11" t="s">
        <v>78</v>
      </c>
      <c r="E155" s="11" t="s">
        <v>78</v>
      </c>
    </row>
    <row r="156" spans="1:5" ht="15">
      <c r="A156" s="10" t="s">
        <v>78</v>
      </c>
      <c r="B156" s="10" t="s">
        <v>78</v>
      </c>
      <c r="C156" s="10" t="s">
        <v>78</v>
      </c>
      <c r="D156" s="11" t="s">
        <v>78</v>
      </c>
      <c r="E156" s="11" t="s">
        <v>78</v>
      </c>
    </row>
    <row r="157" spans="1:5" ht="15">
      <c r="A157" s="10" t="s">
        <v>78</v>
      </c>
      <c r="B157" s="10" t="s">
        <v>78</v>
      </c>
      <c r="C157" s="10" t="s">
        <v>78</v>
      </c>
      <c r="D157" s="11" t="s">
        <v>78</v>
      </c>
      <c r="E157" s="11" t="s">
        <v>78</v>
      </c>
    </row>
    <row r="158" spans="1:5" ht="15">
      <c r="A158" s="10" t="s">
        <v>78</v>
      </c>
      <c r="B158" s="10" t="s">
        <v>78</v>
      </c>
      <c r="C158" s="10" t="s">
        <v>78</v>
      </c>
      <c r="D158" s="11" t="s">
        <v>78</v>
      </c>
      <c r="E158" s="11" t="s">
        <v>78</v>
      </c>
    </row>
    <row r="159" spans="1:5" ht="15">
      <c r="A159" s="10" t="s">
        <v>78</v>
      </c>
      <c r="B159" s="10" t="s">
        <v>78</v>
      </c>
      <c r="C159" s="10" t="s">
        <v>78</v>
      </c>
      <c r="D159" s="11" t="s">
        <v>78</v>
      </c>
      <c r="E159" s="11" t="s">
        <v>78</v>
      </c>
    </row>
    <row r="160" spans="1:5" ht="15">
      <c r="A160" s="10" t="s">
        <v>78</v>
      </c>
      <c r="B160" s="10" t="s">
        <v>78</v>
      </c>
      <c r="C160" s="10" t="s">
        <v>78</v>
      </c>
      <c r="D160" s="11" t="s">
        <v>78</v>
      </c>
      <c r="E160" s="11" t="s">
        <v>78</v>
      </c>
    </row>
    <row r="161" spans="1:5" ht="15">
      <c r="A161" s="10" t="s">
        <v>78</v>
      </c>
      <c r="B161" s="10" t="s">
        <v>78</v>
      </c>
      <c r="C161" s="10" t="s">
        <v>78</v>
      </c>
      <c r="D161" s="11" t="s">
        <v>78</v>
      </c>
      <c r="E161" s="11" t="s">
        <v>78</v>
      </c>
    </row>
    <row r="162" spans="1:5" ht="15">
      <c r="A162" s="10" t="s">
        <v>78</v>
      </c>
      <c r="B162" s="10" t="s">
        <v>78</v>
      </c>
      <c r="C162" s="10" t="s">
        <v>78</v>
      </c>
      <c r="D162" s="11" t="s">
        <v>78</v>
      </c>
      <c r="E162" s="11" t="s">
        <v>78</v>
      </c>
    </row>
    <row r="163" spans="1:5" ht="15">
      <c r="A163" s="10" t="s">
        <v>78</v>
      </c>
      <c r="B163" s="10" t="s">
        <v>78</v>
      </c>
      <c r="C163" s="10" t="s">
        <v>78</v>
      </c>
      <c r="D163" s="11" t="s">
        <v>78</v>
      </c>
      <c r="E163" s="11" t="s">
        <v>78</v>
      </c>
    </row>
    <row r="164" spans="1:5" ht="15">
      <c r="A164" s="10" t="s">
        <v>78</v>
      </c>
      <c r="B164" s="10" t="s">
        <v>78</v>
      </c>
      <c r="C164" s="10" t="s">
        <v>78</v>
      </c>
      <c r="D164" s="11" t="s">
        <v>78</v>
      </c>
      <c r="E164" s="11" t="s">
        <v>78</v>
      </c>
    </row>
    <row r="165" spans="1:5" ht="15">
      <c r="A165" s="10" t="s">
        <v>78</v>
      </c>
      <c r="B165" s="10" t="s">
        <v>78</v>
      </c>
      <c r="C165" s="10" t="s">
        <v>78</v>
      </c>
      <c r="D165" s="11" t="s">
        <v>78</v>
      </c>
      <c r="E165" s="11" t="s">
        <v>78</v>
      </c>
    </row>
    <row r="166" spans="1:5" ht="15">
      <c r="A166" s="10" t="s">
        <v>78</v>
      </c>
      <c r="B166" s="10" t="s">
        <v>78</v>
      </c>
      <c r="C166" s="10" t="s">
        <v>78</v>
      </c>
      <c r="D166" s="11" t="s">
        <v>78</v>
      </c>
      <c r="E166" s="11" t="s">
        <v>78</v>
      </c>
    </row>
    <row r="167" spans="1:5" ht="15">
      <c r="A167" s="10" t="s">
        <v>78</v>
      </c>
      <c r="B167" s="10" t="s">
        <v>78</v>
      </c>
      <c r="C167" s="10" t="s">
        <v>78</v>
      </c>
      <c r="D167" s="11" t="s">
        <v>78</v>
      </c>
      <c r="E167" s="11" t="s">
        <v>78</v>
      </c>
    </row>
    <row r="168" spans="1:5" ht="15">
      <c r="A168" s="10" t="s">
        <v>78</v>
      </c>
      <c r="B168" s="10" t="s">
        <v>78</v>
      </c>
      <c r="C168" s="10" t="s">
        <v>78</v>
      </c>
      <c r="D168" s="11" t="s">
        <v>78</v>
      </c>
      <c r="E168" s="11" t="s">
        <v>78</v>
      </c>
    </row>
    <row r="169" spans="1:5" ht="15">
      <c r="A169" s="10" t="s">
        <v>78</v>
      </c>
      <c r="B169" s="10" t="s">
        <v>78</v>
      </c>
      <c r="C169" s="10" t="s">
        <v>78</v>
      </c>
      <c r="D169" s="11" t="s">
        <v>78</v>
      </c>
      <c r="E169" s="11" t="s">
        <v>78</v>
      </c>
    </row>
    <row r="170" spans="1:5" ht="15">
      <c r="A170" s="10" t="s">
        <v>78</v>
      </c>
      <c r="B170" s="10" t="s">
        <v>78</v>
      </c>
      <c r="C170" s="10" t="s">
        <v>78</v>
      </c>
      <c r="D170" s="11" t="s">
        <v>78</v>
      </c>
      <c r="E170" s="11" t="s">
        <v>78</v>
      </c>
    </row>
    <row r="171" spans="1:5" ht="15">
      <c r="A171" s="10" t="s">
        <v>78</v>
      </c>
      <c r="B171" s="10" t="s">
        <v>78</v>
      </c>
      <c r="C171" s="10" t="s">
        <v>78</v>
      </c>
      <c r="D171" s="11" t="s">
        <v>78</v>
      </c>
      <c r="E171" s="11" t="s">
        <v>78</v>
      </c>
    </row>
    <row r="172" spans="1:5" ht="15">
      <c r="A172" s="10" t="s">
        <v>78</v>
      </c>
      <c r="B172" s="10" t="s">
        <v>78</v>
      </c>
      <c r="C172" s="10" t="s">
        <v>78</v>
      </c>
      <c r="D172" s="11" t="s">
        <v>78</v>
      </c>
      <c r="E172" s="11" t="s">
        <v>78</v>
      </c>
    </row>
    <row r="173" spans="1:5" ht="15">
      <c r="A173" s="10" t="s">
        <v>78</v>
      </c>
      <c r="B173" s="10" t="s">
        <v>78</v>
      </c>
      <c r="C173" s="10" t="s">
        <v>78</v>
      </c>
      <c r="D173" s="11" t="s">
        <v>78</v>
      </c>
      <c r="E173" s="11" t="s">
        <v>78</v>
      </c>
    </row>
    <row r="174" spans="1:5" ht="15">
      <c r="A174" s="10" t="s">
        <v>78</v>
      </c>
      <c r="B174" s="10" t="s">
        <v>78</v>
      </c>
      <c r="C174" s="10" t="s">
        <v>78</v>
      </c>
      <c r="D174" s="11" t="s">
        <v>78</v>
      </c>
      <c r="E174" s="11" t="s">
        <v>78</v>
      </c>
    </row>
    <row r="175" spans="1:5" ht="15">
      <c r="A175" s="10" t="s">
        <v>78</v>
      </c>
      <c r="B175" s="10" t="s">
        <v>78</v>
      </c>
      <c r="C175" s="10" t="s">
        <v>78</v>
      </c>
      <c r="D175" s="11" t="s">
        <v>78</v>
      </c>
      <c r="E175" s="11" t="s">
        <v>78</v>
      </c>
    </row>
    <row r="176" spans="1:5" ht="15">
      <c r="A176" s="10" t="s">
        <v>78</v>
      </c>
      <c r="B176" s="10" t="s">
        <v>78</v>
      </c>
      <c r="C176" s="10" t="s">
        <v>78</v>
      </c>
      <c r="D176" s="11" t="s">
        <v>78</v>
      </c>
      <c r="E176" s="11" t="s">
        <v>78</v>
      </c>
    </row>
    <row r="177" spans="1:5" ht="15">
      <c r="A177" s="10" t="s">
        <v>78</v>
      </c>
      <c r="B177" s="16" t="s">
        <v>78</v>
      </c>
      <c r="C177" s="16" t="s">
        <v>78</v>
      </c>
      <c r="D177" s="17" t="s">
        <v>78</v>
      </c>
      <c r="E177" s="11" t="s">
        <v>78</v>
      </c>
    </row>
    <row r="178" spans="1:5" ht="15">
      <c r="A178" s="10" t="s">
        <v>78</v>
      </c>
      <c r="B178" s="10" t="s">
        <v>78</v>
      </c>
      <c r="C178" s="10" t="s">
        <v>78</v>
      </c>
      <c r="D178" s="11" t="s">
        <v>78</v>
      </c>
      <c r="E178" s="11" t="s">
        <v>78</v>
      </c>
    </row>
    <row r="179" spans="1:5" ht="15">
      <c r="A179" s="10" t="s">
        <v>78</v>
      </c>
      <c r="B179" s="10" t="s">
        <v>78</v>
      </c>
      <c r="C179" s="10" t="s">
        <v>78</v>
      </c>
      <c r="D179" s="11" t="s">
        <v>78</v>
      </c>
      <c r="E179" s="11" t="s">
        <v>78</v>
      </c>
    </row>
    <row r="180" spans="1:5" ht="15">
      <c r="A180" s="10" t="s">
        <v>78</v>
      </c>
      <c r="B180" s="10" t="s">
        <v>78</v>
      </c>
      <c r="C180" s="10" t="s">
        <v>78</v>
      </c>
      <c r="D180" s="11" t="s">
        <v>78</v>
      </c>
      <c r="E180" s="11" t="s">
        <v>78</v>
      </c>
    </row>
    <row r="181" spans="1:5" ht="15">
      <c r="A181" s="10" t="s">
        <v>78</v>
      </c>
      <c r="B181" s="10" t="s">
        <v>78</v>
      </c>
      <c r="C181" s="10" t="s">
        <v>78</v>
      </c>
      <c r="D181" s="11" t="s">
        <v>78</v>
      </c>
      <c r="E181" s="11" t="s">
        <v>78</v>
      </c>
    </row>
    <row r="182" spans="1:5" ht="15">
      <c r="A182" s="10" t="s">
        <v>78</v>
      </c>
      <c r="B182" s="10" t="s">
        <v>78</v>
      </c>
      <c r="C182" s="10" t="s">
        <v>78</v>
      </c>
      <c r="D182" s="11" t="s">
        <v>78</v>
      </c>
      <c r="E182" s="11" t="s">
        <v>78</v>
      </c>
    </row>
    <row r="183" spans="1:5" ht="15">
      <c r="A183" s="10" t="s">
        <v>78</v>
      </c>
      <c r="B183" s="10" t="s">
        <v>78</v>
      </c>
      <c r="C183" s="10" t="s">
        <v>78</v>
      </c>
      <c r="D183" s="11" t="s">
        <v>78</v>
      </c>
      <c r="E183" s="11" t="s">
        <v>78</v>
      </c>
    </row>
    <row r="184" spans="1:5" ht="15">
      <c r="A184" s="10" t="s">
        <v>78</v>
      </c>
      <c r="B184" s="10" t="s">
        <v>78</v>
      </c>
      <c r="C184" s="10" t="s">
        <v>78</v>
      </c>
      <c r="D184" s="11" t="s">
        <v>78</v>
      </c>
      <c r="E184" s="11" t="s">
        <v>78</v>
      </c>
    </row>
    <row r="185" spans="1:5" ht="15">
      <c r="A185" s="10" t="s">
        <v>78</v>
      </c>
      <c r="B185" s="10" t="s">
        <v>78</v>
      </c>
      <c r="C185" s="10" t="s">
        <v>78</v>
      </c>
      <c r="D185" s="11" t="s">
        <v>78</v>
      </c>
      <c r="E185" s="11" t="s">
        <v>78</v>
      </c>
    </row>
    <row r="186" spans="1:5" ht="15">
      <c r="A186" s="10" t="s">
        <v>78</v>
      </c>
      <c r="B186" s="10" t="s">
        <v>78</v>
      </c>
      <c r="C186" s="10" t="s">
        <v>78</v>
      </c>
      <c r="D186" s="11" t="s">
        <v>78</v>
      </c>
      <c r="E186" s="11" t="s">
        <v>78</v>
      </c>
    </row>
    <row r="187" spans="1:5" ht="15">
      <c r="A187" s="10" t="s">
        <v>78</v>
      </c>
      <c r="B187" s="10" t="s">
        <v>78</v>
      </c>
      <c r="C187" s="10" t="s">
        <v>78</v>
      </c>
      <c r="D187" s="11" t="s">
        <v>78</v>
      </c>
      <c r="E187" s="11" t="s">
        <v>78</v>
      </c>
    </row>
    <row r="188" spans="1:5" ht="15">
      <c r="A188" s="10" t="s">
        <v>78</v>
      </c>
      <c r="B188" s="10" t="s">
        <v>78</v>
      </c>
      <c r="C188" s="10" t="s">
        <v>78</v>
      </c>
      <c r="D188" s="11" t="s">
        <v>78</v>
      </c>
      <c r="E188" s="11" t="s">
        <v>78</v>
      </c>
    </row>
    <row r="189" spans="1:5" ht="15">
      <c r="A189" s="10" t="s">
        <v>78</v>
      </c>
      <c r="B189" s="10" t="s">
        <v>78</v>
      </c>
      <c r="C189" s="10" t="s">
        <v>78</v>
      </c>
      <c r="D189" s="11" t="s">
        <v>78</v>
      </c>
      <c r="E189" s="11" t="s">
        <v>78</v>
      </c>
    </row>
    <row r="190" spans="1:5" ht="15">
      <c r="A190" s="10" t="s">
        <v>78</v>
      </c>
      <c r="B190" s="10" t="s">
        <v>78</v>
      </c>
      <c r="C190" s="10" t="s">
        <v>78</v>
      </c>
      <c r="D190" s="11" t="s">
        <v>78</v>
      </c>
      <c r="E190" s="11" t="s">
        <v>78</v>
      </c>
    </row>
    <row r="191" spans="1:5" ht="15">
      <c r="A191" s="10" t="s">
        <v>78</v>
      </c>
      <c r="B191" s="10" t="s">
        <v>78</v>
      </c>
      <c r="C191" s="10" t="s">
        <v>78</v>
      </c>
      <c r="D191" s="11" t="s">
        <v>78</v>
      </c>
      <c r="E191" s="11" t="s">
        <v>78</v>
      </c>
    </row>
    <row r="192" spans="1:5" ht="15">
      <c r="A192" s="10" t="s">
        <v>78</v>
      </c>
      <c r="B192" s="10" t="s">
        <v>78</v>
      </c>
      <c r="C192" s="10" t="s">
        <v>78</v>
      </c>
      <c r="D192" s="11" t="s">
        <v>78</v>
      </c>
      <c r="E192" s="11" t="s">
        <v>78</v>
      </c>
    </row>
    <row r="193" spans="1:5" ht="15">
      <c r="A193" s="10" t="s">
        <v>78</v>
      </c>
      <c r="B193" s="10" t="s">
        <v>78</v>
      </c>
      <c r="C193" s="10" t="s">
        <v>78</v>
      </c>
      <c r="D193" s="11" t="s">
        <v>78</v>
      </c>
      <c r="E193" s="11" t="s">
        <v>78</v>
      </c>
    </row>
    <row r="194" spans="1:5" ht="15">
      <c r="A194" s="10" t="s">
        <v>78</v>
      </c>
      <c r="B194" s="10" t="s">
        <v>78</v>
      </c>
      <c r="C194" s="10" t="s">
        <v>78</v>
      </c>
      <c r="D194" s="11" t="s">
        <v>78</v>
      </c>
      <c r="E194" s="11" t="s">
        <v>78</v>
      </c>
    </row>
    <row r="195" spans="1:5" ht="15">
      <c r="A195" s="10" t="s">
        <v>78</v>
      </c>
      <c r="B195" s="10" t="s">
        <v>78</v>
      </c>
      <c r="C195" s="10" t="s">
        <v>78</v>
      </c>
      <c r="D195" s="11" t="s">
        <v>78</v>
      </c>
      <c r="E195" s="11" t="s">
        <v>78</v>
      </c>
    </row>
    <row r="196" spans="1:5" ht="15">
      <c r="A196" s="10" t="s">
        <v>78</v>
      </c>
      <c r="B196" s="10" t="s">
        <v>78</v>
      </c>
      <c r="C196" s="10" t="s">
        <v>78</v>
      </c>
      <c r="D196" s="11" t="s">
        <v>78</v>
      </c>
      <c r="E196" s="11" t="s">
        <v>78</v>
      </c>
    </row>
    <row r="197" spans="1:5" ht="15">
      <c r="A197" s="10" t="s">
        <v>78</v>
      </c>
      <c r="B197" s="10" t="s">
        <v>78</v>
      </c>
      <c r="C197" s="10" t="s">
        <v>78</v>
      </c>
      <c r="D197" s="11" t="s">
        <v>78</v>
      </c>
      <c r="E197" s="11" t="s">
        <v>78</v>
      </c>
    </row>
    <row r="198" spans="1:5" ht="15">
      <c r="A198" s="10" t="s">
        <v>78</v>
      </c>
      <c r="B198" s="10" t="s">
        <v>78</v>
      </c>
      <c r="C198" s="10" t="s">
        <v>78</v>
      </c>
      <c r="D198" s="11" t="s">
        <v>78</v>
      </c>
      <c r="E198" s="11" t="s">
        <v>78</v>
      </c>
    </row>
    <row r="199" spans="1:5" ht="15">
      <c r="A199" s="10" t="s">
        <v>78</v>
      </c>
      <c r="B199" s="10" t="s">
        <v>78</v>
      </c>
      <c r="C199" s="10" t="s">
        <v>78</v>
      </c>
      <c r="D199" s="11" t="s">
        <v>78</v>
      </c>
      <c r="E199" s="11" t="s">
        <v>78</v>
      </c>
    </row>
    <row r="200" spans="1:5" ht="15">
      <c r="A200" s="10" t="s">
        <v>78</v>
      </c>
      <c r="B200" s="10" t="s">
        <v>78</v>
      </c>
      <c r="C200" s="10" t="s">
        <v>78</v>
      </c>
      <c r="D200" s="11" t="s">
        <v>78</v>
      </c>
      <c r="E200" s="11" t="s">
        <v>78</v>
      </c>
    </row>
    <row r="201" spans="1:5" ht="15">
      <c r="A201" s="10" t="s">
        <v>78</v>
      </c>
      <c r="B201" s="10" t="s">
        <v>78</v>
      </c>
      <c r="C201" s="10" t="s">
        <v>78</v>
      </c>
      <c r="D201" s="11" t="s">
        <v>78</v>
      </c>
      <c r="E201" s="11" t="s">
        <v>78</v>
      </c>
    </row>
    <row r="202" spans="1:5" ht="15">
      <c r="A202" s="10" t="s">
        <v>78</v>
      </c>
      <c r="B202" s="10" t="s">
        <v>78</v>
      </c>
      <c r="C202" s="10" t="s">
        <v>78</v>
      </c>
      <c r="D202" s="11" t="s">
        <v>78</v>
      </c>
      <c r="E202" s="11" t="s">
        <v>78</v>
      </c>
    </row>
    <row r="203" spans="1:5" ht="15">
      <c r="A203" s="10" t="s">
        <v>78</v>
      </c>
      <c r="B203" s="10" t="s">
        <v>78</v>
      </c>
      <c r="C203" s="10" t="s">
        <v>78</v>
      </c>
      <c r="D203" s="11" t="s">
        <v>78</v>
      </c>
      <c r="E203" s="11" t="s">
        <v>78</v>
      </c>
    </row>
    <row r="204" spans="1:5" ht="15">
      <c r="A204" s="10" t="s">
        <v>78</v>
      </c>
      <c r="B204" s="10" t="s">
        <v>78</v>
      </c>
      <c r="C204" s="10" t="s">
        <v>78</v>
      </c>
      <c r="D204" s="11" t="s">
        <v>78</v>
      </c>
      <c r="E204" s="11" t="s">
        <v>78</v>
      </c>
    </row>
    <row r="205" spans="1:5" ht="15">
      <c r="A205" s="10" t="s">
        <v>78</v>
      </c>
      <c r="B205" s="10" t="s">
        <v>78</v>
      </c>
      <c r="C205" s="10" t="s">
        <v>78</v>
      </c>
      <c r="D205" s="11" t="s">
        <v>78</v>
      </c>
      <c r="E205" s="11" t="s">
        <v>78</v>
      </c>
    </row>
    <row r="206" spans="1:5" ht="15">
      <c r="A206" s="10" t="s">
        <v>78</v>
      </c>
      <c r="B206" s="10" t="s">
        <v>78</v>
      </c>
      <c r="C206" s="10" t="s">
        <v>78</v>
      </c>
      <c r="D206" s="11" t="s">
        <v>78</v>
      </c>
      <c r="E206" s="11" t="s">
        <v>78</v>
      </c>
    </row>
    <row r="207" spans="1:5" ht="15">
      <c r="A207" s="10" t="s">
        <v>78</v>
      </c>
      <c r="B207" s="10" t="s">
        <v>78</v>
      </c>
      <c r="C207" s="10" t="s">
        <v>78</v>
      </c>
      <c r="D207" s="11" t="s">
        <v>78</v>
      </c>
      <c r="E207" s="11" t="s">
        <v>78</v>
      </c>
    </row>
    <row r="208" spans="1:5" ht="15">
      <c r="A208" s="10" t="s">
        <v>78</v>
      </c>
      <c r="B208" s="10" t="s">
        <v>78</v>
      </c>
      <c r="C208" s="10" t="s">
        <v>78</v>
      </c>
      <c r="D208" s="11" t="s">
        <v>78</v>
      </c>
      <c r="E208" s="11" t="s">
        <v>78</v>
      </c>
    </row>
    <row r="209" spans="1:5" ht="15">
      <c r="A209" s="10" t="s">
        <v>78</v>
      </c>
      <c r="B209" s="10" t="s">
        <v>78</v>
      </c>
      <c r="C209" s="10" t="s">
        <v>78</v>
      </c>
      <c r="D209" s="11" t="s">
        <v>78</v>
      </c>
      <c r="E209" s="11" t="s">
        <v>78</v>
      </c>
    </row>
    <row r="210" spans="1:5" ht="15">
      <c r="A210" s="10" t="s">
        <v>78</v>
      </c>
      <c r="B210" s="10" t="s">
        <v>78</v>
      </c>
      <c r="C210" s="10" t="s">
        <v>78</v>
      </c>
      <c r="D210" s="11" t="s">
        <v>78</v>
      </c>
      <c r="E210" s="11" t="s">
        <v>78</v>
      </c>
    </row>
    <row r="211" spans="1:5" ht="15">
      <c r="A211" s="10" t="s">
        <v>78</v>
      </c>
      <c r="B211" s="10" t="s">
        <v>78</v>
      </c>
      <c r="C211" s="10" t="s">
        <v>78</v>
      </c>
      <c r="D211" s="11" t="s">
        <v>78</v>
      </c>
      <c r="E211" s="11" t="s">
        <v>78</v>
      </c>
    </row>
    <row r="212" spans="1:5" ht="15">
      <c r="A212" s="10" t="s">
        <v>78</v>
      </c>
      <c r="B212" s="10" t="s">
        <v>78</v>
      </c>
      <c r="C212" s="10" t="s">
        <v>78</v>
      </c>
      <c r="D212" s="11" t="s">
        <v>78</v>
      </c>
      <c r="E212" s="11" t="s">
        <v>78</v>
      </c>
    </row>
    <row r="213" spans="1:5" ht="15">
      <c r="A213" s="10" t="s">
        <v>78</v>
      </c>
      <c r="B213" s="10" t="s">
        <v>78</v>
      </c>
      <c r="C213" s="10" t="s">
        <v>78</v>
      </c>
      <c r="D213" s="11" t="s">
        <v>78</v>
      </c>
      <c r="E213" s="11" t="s">
        <v>78</v>
      </c>
    </row>
    <row r="214" spans="1:5" ht="15">
      <c r="A214" s="10" t="s">
        <v>78</v>
      </c>
      <c r="B214" s="10" t="s">
        <v>78</v>
      </c>
      <c r="C214" s="10" t="s">
        <v>78</v>
      </c>
      <c r="D214" s="11" t="s">
        <v>78</v>
      </c>
      <c r="E214" s="11" t="s">
        <v>78</v>
      </c>
    </row>
    <row r="215" spans="1:5" ht="15">
      <c r="A215" s="10" t="s">
        <v>78</v>
      </c>
      <c r="B215" s="10" t="s">
        <v>78</v>
      </c>
      <c r="C215" s="10" t="s">
        <v>78</v>
      </c>
      <c r="D215" s="11" t="s">
        <v>78</v>
      </c>
      <c r="E215" s="11" t="s">
        <v>78</v>
      </c>
    </row>
    <row r="216" spans="1:5" ht="15">
      <c r="A216" s="10" t="s">
        <v>78</v>
      </c>
      <c r="B216" s="10" t="s">
        <v>78</v>
      </c>
      <c r="C216" s="10" t="s">
        <v>78</v>
      </c>
      <c r="D216" s="11" t="s">
        <v>78</v>
      </c>
      <c r="E216" s="11" t="s">
        <v>78</v>
      </c>
    </row>
    <row r="217" spans="1:5" ht="15">
      <c r="A217" s="10" t="s">
        <v>78</v>
      </c>
      <c r="B217" s="10" t="s">
        <v>78</v>
      </c>
      <c r="C217" s="10" t="s">
        <v>78</v>
      </c>
      <c r="D217" s="11" t="s">
        <v>78</v>
      </c>
      <c r="E217" s="11" t="s">
        <v>78</v>
      </c>
    </row>
    <row r="218" spans="1:5" ht="15">
      <c r="A218" s="10" t="s">
        <v>78</v>
      </c>
      <c r="B218" s="10" t="s">
        <v>78</v>
      </c>
      <c r="C218" s="10" t="s">
        <v>78</v>
      </c>
      <c r="D218" s="11" t="s">
        <v>78</v>
      </c>
      <c r="E218" s="11" t="s">
        <v>78</v>
      </c>
    </row>
    <row r="219" spans="1:5" ht="15">
      <c r="A219" s="10" t="s">
        <v>78</v>
      </c>
      <c r="B219" s="10" t="s">
        <v>78</v>
      </c>
      <c r="C219" s="10" t="s">
        <v>78</v>
      </c>
      <c r="D219" s="11" t="s">
        <v>78</v>
      </c>
      <c r="E219" s="11" t="s">
        <v>78</v>
      </c>
    </row>
    <row r="220" spans="1:5" ht="15">
      <c r="A220" s="10" t="s">
        <v>78</v>
      </c>
      <c r="B220" s="10" t="s">
        <v>78</v>
      </c>
      <c r="C220" s="10" t="s">
        <v>78</v>
      </c>
      <c r="D220" s="11" t="s">
        <v>78</v>
      </c>
      <c r="E220" s="11" t="s">
        <v>78</v>
      </c>
    </row>
    <row r="221" spans="1:5" ht="15">
      <c r="A221" s="10" t="s">
        <v>78</v>
      </c>
      <c r="B221" s="10" t="s">
        <v>78</v>
      </c>
      <c r="C221" s="10" t="s">
        <v>78</v>
      </c>
      <c r="D221" s="11" t="s">
        <v>78</v>
      </c>
      <c r="E221" s="11" t="s">
        <v>78</v>
      </c>
    </row>
    <row r="222" spans="1:5" ht="15">
      <c r="A222" s="10" t="s">
        <v>78</v>
      </c>
      <c r="B222" s="10" t="s">
        <v>78</v>
      </c>
      <c r="C222" s="10" t="s">
        <v>78</v>
      </c>
      <c r="D222" s="11" t="s">
        <v>78</v>
      </c>
      <c r="E222" s="11" t="s">
        <v>78</v>
      </c>
    </row>
    <row r="223" spans="1:5" ht="15">
      <c r="A223" s="10" t="s">
        <v>78</v>
      </c>
      <c r="B223" s="10" t="s">
        <v>78</v>
      </c>
      <c r="C223" s="10" t="s">
        <v>78</v>
      </c>
      <c r="D223" s="11" t="s">
        <v>78</v>
      </c>
      <c r="E223" s="11" t="s">
        <v>78</v>
      </c>
    </row>
    <row r="224" spans="1:5" ht="15">
      <c r="A224" s="10" t="s">
        <v>78</v>
      </c>
      <c r="B224" s="10" t="s">
        <v>78</v>
      </c>
      <c r="C224" s="10" t="s">
        <v>78</v>
      </c>
      <c r="D224" s="11" t="s">
        <v>78</v>
      </c>
      <c r="E224" s="11" t="s">
        <v>78</v>
      </c>
    </row>
    <row r="225" spans="1:5" ht="15">
      <c r="A225" s="10" t="s">
        <v>78</v>
      </c>
      <c r="B225" s="10" t="s">
        <v>78</v>
      </c>
      <c r="C225" s="10" t="s">
        <v>78</v>
      </c>
      <c r="D225" s="11" t="s">
        <v>78</v>
      </c>
      <c r="E225" s="11" t="s">
        <v>78</v>
      </c>
    </row>
    <row r="226" spans="1:5" ht="15">
      <c r="A226" s="10" t="s">
        <v>78</v>
      </c>
      <c r="B226" s="10" t="s">
        <v>78</v>
      </c>
      <c r="C226" s="10" t="s">
        <v>78</v>
      </c>
      <c r="D226" s="11" t="s">
        <v>78</v>
      </c>
      <c r="E226" s="11" t="s">
        <v>78</v>
      </c>
    </row>
    <row r="227" spans="1:5" ht="15">
      <c r="A227" s="10" t="s">
        <v>78</v>
      </c>
      <c r="B227" s="10" t="s">
        <v>78</v>
      </c>
      <c r="C227" s="10" t="s">
        <v>78</v>
      </c>
      <c r="D227" s="11" t="s">
        <v>78</v>
      </c>
      <c r="E227" s="11" t="s">
        <v>78</v>
      </c>
    </row>
    <row r="228" spans="1:5" ht="15">
      <c r="A228" s="10" t="s">
        <v>78</v>
      </c>
      <c r="B228" s="10" t="s">
        <v>78</v>
      </c>
      <c r="C228" s="10" t="s">
        <v>78</v>
      </c>
      <c r="D228" s="11" t="s">
        <v>78</v>
      </c>
      <c r="E228" s="11" t="s">
        <v>78</v>
      </c>
    </row>
    <row r="229" spans="1:5" ht="15">
      <c r="A229" s="10" t="s">
        <v>78</v>
      </c>
      <c r="B229" s="10" t="s">
        <v>78</v>
      </c>
      <c r="C229" s="10" t="s">
        <v>78</v>
      </c>
      <c r="D229" s="11" t="s">
        <v>78</v>
      </c>
      <c r="E229" s="11" t="s">
        <v>78</v>
      </c>
    </row>
    <row r="230" spans="1:5" ht="15">
      <c r="A230" s="10" t="s">
        <v>78</v>
      </c>
      <c r="B230" s="10" t="s">
        <v>78</v>
      </c>
      <c r="C230" s="10" t="s">
        <v>78</v>
      </c>
      <c r="D230" s="11" t="s">
        <v>78</v>
      </c>
      <c r="E230" s="11" t="s">
        <v>78</v>
      </c>
    </row>
    <row r="231" spans="1:5" ht="15">
      <c r="A231" s="10" t="s">
        <v>78</v>
      </c>
      <c r="B231" s="10" t="s">
        <v>78</v>
      </c>
      <c r="C231" s="10" t="s">
        <v>78</v>
      </c>
      <c r="D231" s="11" t="s">
        <v>78</v>
      </c>
      <c r="E231" s="11" t="s">
        <v>78</v>
      </c>
    </row>
    <row r="232" spans="1:5" ht="15">
      <c r="A232" s="10" t="s">
        <v>78</v>
      </c>
      <c r="B232" s="10" t="s">
        <v>78</v>
      </c>
      <c r="C232" s="10" t="s">
        <v>78</v>
      </c>
      <c r="D232" s="11" t="s">
        <v>78</v>
      </c>
      <c r="E232" s="11" t="s">
        <v>78</v>
      </c>
    </row>
    <row r="233" spans="1:5" ht="15">
      <c r="A233" s="10" t="s">
        <v>78</v>
      </c>
      <c r="B233" s="10" t="s">
        <v>78</v>
      </c>
      <c r="C233" s="10" t="s">
        <v>78</v>
      </c>
      <c r="D233" s="11" t="s">
        <v>78</v>
      </c>
      <c r="E233" s="11" t="s">
        <v>78</v>
      </c>
    </row>
    <row r="234" spans="1:5" ht="15">
      <c r="A234" s="10" t="s">
        <v>78</v>
      </c>
      <c r="B234" s="10" t="s">
        <v>78</v>
      </c>
      <c r="C234" s="10" t="s">
        <v>78</v>
      </c>
      <c r="D234" s="11" t="s">
        <v>78</v>
      </c>
      <c r="E234" s="11" t="s">
        <v>78</v>
      </c>
    </row>
    <row r="235" spans="1:5" ht="15">
      <c r="A235" s="10" t="s">
        <v>78</v>
      </c>
      <c r="B235" s="10" t="s">
        <v>78</v>
      </c>
      <c r="C235" s="10" t="s">
        <v>78</v>
      </c>
      <c r="D235" s="11" t="s">
        <v>78</v>
      </c>
      <c r="E235" s="11" t="s">
        <v>78</v>
      </c>
    </row>
    <row r="236" spans="1:5" ht="15">
      <c r="A236" s="10" t="s">
        <v>78</v>
      </c>
      <c r="B236" s="10" t="s">
        <v>78</v>
      </c>
      <c r="C236" s="10" t="s">
        <v>78</v>
      </c>
      <c r="D236" s="11" t="s">
        <v>78</v>
      </c>
      <c r="E236" s="11" t="s">
        <v>78</v>
      </c>
    </row>
    <row r="237" spans="1:5" ht="15">
      <c r="A237" s="10" t="s">
        <v>78</v>
      </c>
      <c r="B237" s="10" t="s">
        <v>78</v>
      </c>
      <c r="C237" s="10" t="s">
        <v>78</v>
      </c>
      <c r="D237" s="11" t="s">
        <v>78</v>
      </c>
      <c r="E237" s="11" t="s">
        <v>78</v>
      </c>
    </row>
    <row r="238" spans="1:5" ht="15">
      <c r="A238" s="10" t="s">
        <v>78</v>
      </c>
      <c r="B238" s="10" t="s">
        <v>78</v>
      </c>
      <c r="C238" s="10" t="s">
        <v>78</v>
      </c>
      <c r="D238" s="11" t="s">
        <v>78</v>
      </c>
      <c r="E238" s="11" t="s">
        <v>78</v>
      </c>
    </row>
    <row r="239" spans="1:5" ht="15">
      <c r="A239" s="10" t="s">
        <v>78</v>
      </c>
      <c r="B239" s="10" t="s">
        <v>78</v>
      </c>
      <c r="C239" s="10" t="s">
        <v>78</v>
      </c>
      <c r="D239" s="11" t="s">
        <v>78</v>
      </c>
      <c r="E239" s="11" t="s">
        <v>78</v>
      </c>
    </row>
    <row r="240" spans="1:5" ht="15">
      <c r="A240" s="10" t="s">
        <v>78</v>
      </c>
      <c r="B240" s="10" t="s">
        <v>78</v>
      </c>
      <c r="C240" s="10" t="s">
        <v>78</v>
      </c>
      <c r="D240" s="11" t="s">
        <v>78</v>
      </c>
      <c r="E240" s="11" t="s">
        <v>78</v>
      </c>
    </row>
    <row r="241" spans="1:5" ht="15">
      <c r="A241" s="10" t="s">
        <v>78</v>
      </c>
      <c r="B241" s="10" t="s">
        <v>78</v>
      </c>
      <c r="C241" s="10" t="s">
        <v>78</v>
      </c>
      <c r="D241" s="11" t="s">
        <v>78</v>
      </c>
      <c r="E241" s="11" t="s">
        <v>78</v>
      </c>
    </row>
    <row r="242" spans="1:5" ht="15">
      <c r="A242" s="10" t="s">
        <v>78</v>
      </c>
      <c r="B242" s="10" t="s">
        <v>78</v>
      </c>
      <c r="C242" s="10" t="s">
        <v>78</v>
      </c>
      <c r="D242" s="11" t="s">
        <v>78</v>
      </c>
      <c r="E242" s="11" t="s">
        <v>78</v>
      </c>
    </row>
    <row r="243" spans="1:5" ht="15">
      <c r="A243" s="10" t="s">
        <v>78</v>
      </c>
      <c r="B243" s="10" t="s">
        <v>78</v>
      </c>
      <c r="C243" s="10" t="s">
        <v>78</v>
      </c>
      <c r="D243" s="11" t="s">
        <v>78</v>
      </c>
      <c r="E243" s="11" t="s">
        <v>78</v>
      </c>
    </row>
    <row r="244" spans="1:5" ht="15">
      <c r="A244" s="10" t="s">
        <v>78</v>
      </c>
      <c r="B244" s="10" t="s">
        <v>78</v>
      </c>
      <c r="C244" s="10" t="s">
        <v>78</v>
      </c>
      <c r="D244" s="11" t="s">
        <v>78</v>
      </c>
      <c r="E244" s="11" t="s">
        <v>78</v>
      </c>
    </row>
    <row r="245" spans="1:5" ht="15">
      <c r="A245" s="10" t="s">
        <v>78</v>
      </c>
      <c r="B245" s="10" t="s">
        <v>78</v>
      </c>
      <c r="C245" s="10" t="s">
        <v>78</v>
      </c>
      <c r="D245" s="11" t="s">
        <v>78</v>
      </c>
      <c r="E245" s="11" t="s">
        <v>78</v>
      </c>
    </row>
    <row r="246" spans="1:5" ht="15">
      <c r="A246" s="10" t="s">
        <v>78</v>
      </c>
      <c r="B246" s="10" t="s">
        <v>78</v>
      </c>
      <c r="C246" s="10" t="s">
        <v>78</v>
      </c>
      <c r="D246" s="11" t="s">
        <v>78</v>
      </c>
      <c r="E246" s="11" t="s">
        <v>78</v>
      </c>
    </row>
    <row r="247" spans="1:5" ht="15">
      <c r="A247" s="10" t="s">
        <v>78</v>
      </c>
      <c r="B247" s="10" t="s">
        <v>78</v>
      </c>
      <c r="C247" s="10" t="s">
        <v>78</v>
      </c>
      <c r="D247" s="11" t="s">
        <v>78</v>
      </c>
      <c r="E247" s="11" t="s">
        <v>78</v>
      </c>
    </row>
    <row r="248" spans="1:5" ht="15">
      <c r="A248" s="10" t="s">
        <v>78</v>
      </c>
      <c r="B248" s="10" t="s">
        <v>78</v>
      </c>
      <c r="C248" s="10" t="s">
        <v>78</v>
      </c>
      <c r="D248" s="11" t="s">
        <v>78</v>
      </c>
      <c r="E248" s="11" t="s">
        <v>78</v>
      </c>
    </row>
    <row r="249" spans="1:5" ht="15">
      <c r="A249" s="10" t="s">
        <v>78</v>
      </c>
      <c r="B249" s="10" t="s">
        <v>78</v>
      </c>
      <c r="C249" s="10" t="s">
        <v>78</v>
      </c>
      <c r="D249" s="11" t="s">
        <v>78</v>
      </c>
      <c r="E249" s="11" t="s">
        <v>78</v>
      </c>
    </row>
    <row r="250" spans="1:5" ht="15">
      <c r="A250" s="10" t="s">
        <v>78</v>
      </c>
      <c r="B250" s="10" t="s">
        <v>78</v>
      </c>
      <c r="C250" s="10" t="s">
        <v>78</v>
      </c>
      <c r="D250" s="11" t="s">
        <v>78</v>
      </c>
      <c r="E250" s="11" t="s">
        <v>78</v>
      </c>
    </row>
    <row r="251" spans="1:5" ht="15">
      <c r="A251" s="10" t="s">
        <v>78</v>
      </c>
      <c r="B251" s="10" t="s">
        <v>78</v>
      </c>
      <c r="C251" s="10" t="s">
        <v>78</v>
      </c>
      <c r="D251" s="11" t="s">
        <v>78</v>
      </c>
      <c r="E251" s="11" t="s">
        <v>78</v>
      </c>
    </row>
    <row r="252" spans="1:5" ht="15">
      <c r="A252" s="10" t="s">
        <v>78</v>
      </c>
      <c r="B252" s="10" t="s">
        <v>78</v>
      </c>
      <c r="C252" s="10" t="s">
        <v>78</v>
      </c>
      <c r="D252" s="11" t="s">
        <v>78</v>
      </c>
      <c r="E252" s="11" t="s">
        <v>78</v>
      </c>
    </row>
    <row r="253" spans="1:5" ht="15">
      <c r="A253" s="10" t="s">
        <v>78</v>
      </c>
      <c r="B253" s="10" t="s">
        <v>78</v>
      </c>
      <c r="C253" s="10" t="s">
        <v>78</v>
      </c>
      <c r="D253" s="11" t="s">
        <v>78</v>
      </c>
      <c r="E253" s="11" t="s">
        <v>78</v>
      </c>
    </row>
    <row r="254" spans="1:5" ht="15">
      <c r="A254" s="10" t="s">
        <v>78</v>
      </c>
      <c r="B254" s="10" t="s">
        <v>78</v>
      </c>
      <c r="C254" s="10" t="s">
        <v>78</v>
      </c>
      <c r="D254" s="11" t="s">
        <v>78</v>
      </c>
      <c r="E254" s="11" t="s">
        <v>78</v>
      </c>
    </row>
    <row r="255" spans="1:5" ht="15">
      <c r="A255" s="10" t="s">
        <v>78</v>
      </c>
      <c r="B255" s="10" t="s">
        <v>78</v>
      </c>
      <c r="C255" s="10" t="s">
        <v>78</v>
      </c>
      <c r="D255" s="11" t="s">
        <v>78</v>
      </c>
      <c r="E255" s="11" t="s">
        <v>78</v>
      </c>
    </row>
    <row r="256" spans="1:5" ht="15">
      <c r="A256" s="10" t="s">
        <v>78</v>
      </c>
      <c r="B256" s="10" t="s">
        <v>78</v>
      </c>
      <c r="C256" s="10" t="s">
        <v>78</v>
      </c>
      <c r="D256" s="11" t="s">
        <v>78</v>
      </c>
      <c r="E256" s="11" t="s">
        <v>78</v>
      </c>
    </row>
    <row r="257" spans="1:5" ht="15">
      <c r="A257" s="10" t="s">
        <v>78</v>
      </c>
      <c r="B257" s="10" t="s">
        <v>78</v>
      </c>
      <c r="C257" s="10" t="s">
        <v>78</v>
      </c>
      <c r="D257" s="11" t="s">
        <v>78</v>
      </c>
      <c r="E257" s="11" t="s">
        <v>78</v>
      </c>
    </row>
    <row r="258" spans="1:5" ht="15">
      <c r="A258" s="10" t="s">
        <v>78</v>
      </c>
      <c r="B258" s="10" t="s">
        <v>78</v>
      </c>
      <c r="C258" s="10" t="s">
        <v>78</v>
      </c>
      <c r="D258" s="11" t="s">
        <v>78</v>
      </c>
      <c r="E258" s="11" t="s">
        <v>78</v>
      </c>
    </row>
    <row r="259" spans="1:5" ht="15">
      <c r="A259" s="10" t="s">
        <v>78</v>
      </c>
      <c r="B259" s="10" t="s">
        <v>78</v>
      </c>
      <c r="C259" s="10" t="s">
        <v>78</v>
      </c>
      <c r="D259" s="11" t="s">
        <v>78</v>
      </c>
      <c r="E259" s="11" t="s">
        <v>78</v>
      </c>
    </row>
    <row r="260" spans="1:5" ht="15">
      <c r="A260" s="10" t="s">
        <v>78</v>
      </c>
      <c r="B260" s="10" t="s">
        <v>78</v>
      </c>
      <c r="C260" s="10" t="s">
        <v>78</v>
      </c>
      <c r="D260" s="11" t="s">
        <v>78</v>
      </c>
      <c r="E260" s="11" t="s">
        <v>78</v>
      </c>
    </row>
    <row r="261" spans="1:5" ht="15">
      <c r="A261" s="10" t="s">
        <v>78</v>
      </c>
      <c r="B261" s="10" t="s">
        <v>78</v>
      </c>
      <c r="C261" s="10" t="s">
        <v>78</v>
      </c>
      <c r="D261" s="11" t="s">
        <v>78</v>
      </c>
      <c r="E261" s="11" t="s">
        <v>78</v>
      </c>
    </row>
    <row r="262" spans="1:5" ht="15">
      <c r="A262" s="10" t="s">
        <v>78</v>
      </c>
      <c r="B262" s="10" t="s">
        <v>78</v>
      </c>
      <c r="C262" s="10" t="s">
        <v>78</v>
      </c>
      <c r="D262" s="11" t="s">
        <v>78</v>
      </c>
      <c r="E262" s="11" t="s">
        <v>78</v>
      </c>
    </row>
    <row r="263" spans="1:5" ht="15">
      <c r="A263" s="10" t="s">
        <v>78</v>
      </c>
      <c r="B263" s="10" t="s">
        <v>78</v>
      </c>
      <c r="C263" s="10" t="s">
        <v>78</v>
      </c>
      <c r="D263" s="11" t="s">
        <v>78</v>
      </c>
      <c r="E263" s="11" t="s">
        <v>78</v>
      </c>
    </row>
    <row r="264" spans="1:5" ht="15">
      <c r="A264" s="10" t="s">
        <v>78</v>
      </c>
      <c r="B264" s="10" t="s">
        <v>78</v>
      </c>
      <c r="C264" s="10" t="s">
        <v>78</v>
      </c>
      <c r="D264" s="11" t="s">
        <v>78</v>
      </c>
      <c r="E264" s="11" t="s">
        <v>78</v>
      </c>
    </row>
    <row r="265" spans="1:5" ht="15">
      <c r="A265" s="10" t="s">
        <v>78</v>
      </c>
      <c r="B265" s="10" t="s">
        <v>78</v>
      </c>
      <c r="C265" s="10" t="s">
        <v>78</v>
      </c>
      <c r="D265" s="11" t="s">
        <v>78</v>
      </c>
      <c r="E265" s="11" t="s">
        <v>78</v>
      </c>
    </row>
    <row r="266" spans="1:5" ht="15">
      <c r="A266" s="10" t="s">
        <v>78</v>
      </c>
      <c r="B266" s="10" t="s">
        <v>78</v>
      </c>
      <c r="C266" s="10" t="s">
        <v>78</v>
      </c>
      <c r="D266" s="11" t="s">
        <v>78</v>
      </c>
      <c r="E266" s="11" t="s">
        <v>78</v>
      </c>
    </row>
    <row r="267" spans="1:5" ht="15">
      <c r="A267" s="10" t="s">
        <v>78</v>
      </c>
      <c r="B267" s="10" t="s">
        <v>78</v>
      </c>
      <c r="C267" s="10" t="s">
        <v>78</v>
      </c>
      <c r="D267" s="11" t="s">
        <v>78</v>
      </c>
      <c r="E267" s="11" t="s">
        <v>78</v>
      </c>
    </row>
    <row r="268" spans="1:5" ht="15">
      <c r="A268" s="10" t="s">
        <v>78</v>
      </c>
      <c r="B268" s="10" t="s">
        <v>78</v>
      </c>
      <c r="C268" s="10" t="s">
        <v>78</v>
      </c>
      <c r="D268" s="11" t="s">
        <v>78</v>
      </c>
      <c r="E268" s="11" t="s">
        <v>78</v>
      </c>
    </row>
    <row r="269" spans="1:5" ht="15">
      <c r="A269" s="10" t="s">
        <v>78</v>
      </c>
      <c r="B269" s="10" t="s">
        <v>78</v>
      </c>
      <c r="C269" s="10" t="s">
        <v>78</v>
      </c>
      <c r="D269" s="11" t="s">
        <v>78</v>
      </c>
      <c r="E269" s="11" t="s">
        <v>78</v>
      </c>
    </row>
    <row r="270" spans="1:5" ht="15">
      <c r="A270" s="10" t="s">
        <v>78</v>
      </c>
      <c r="B270" s="10" t="s">
        <v>78</v>
      </c>
      <c r="C270" s="10" t="s">
        <v>78</v>
      </c>
      <c r="D270" s="11" t="s">
        <v>78</v>
      </c>
      <c r="E270" s="11" t="s">
        <v>78</v>
      </c>
    </row>
    <row r="271" spans="1:5" ht="15">
      <c r="A271" s="10" t="s">
        <v>78</v>
      </c>
      <c r="B271" s="10" t="s">
        <v>78</v>
      </c>
      <c r="C271" s="10" t="s">
        <v>78</v>
      </c>
      <c r="D271" s="11" t="s">
        <v>78</v>
      </c>
      <c r="E271" s="11" t="s">
        <v>78</v>
      </c>
    </row>
    <row r="272" spans="1:5" ht="15">
      <c r="A272" s="10" t="s">
        <v>78</v>
      </c>
      <c r="B272" s="10" t="s">
        <v>78</v>
      </c>
      <c r="C272" s="10" t="s">
        <v>78</v>
      </c>
      <c r="D272" s="11" t="s">
        <v>78</v>
      </c>
      <c r="E272" s="11" t="s">
        <v>78</v>
      </c>
    </row>
    <row r="273" spans="1:5" ht="15">
      <c r="A273" s="10" t="s">
        <v>78</v>
      </c>
      <c r="B273" s="10" t="s">
        <v>78</v>
      </c>
      <c r="C273" s="10" t="s">
        <v>78</v>
      </c>
      <c r="D273" s="11" t="s">
        <v>78</v>
      </c>
      <c r="E273" s="11" t="s">
        <v>78</v>
      </c>
    </row>
    <row r="274" spans="1:5" ht="15">
      <c r="A274" s="10" t="s">
        <v>78</v>
      </c>
      <c r="B274" s="10" t="s">
        <v>78</v>
      </c>
      <c r="C274" s="10" t="s">
        <v>78</v>
      </c>
      <c r="D274" s="11" t="s">
        <v>78</v>
      </c>
      <c r="E274" s="11" t="s">
        <v>78</v>
      </c>
    </row>
    <row r="275" spans="1:5" ht="15">
      <c r="A275" s="10" t="s">
        <v>78</v>
      </c>
      <c r="B275" s="10" t="s">
        <v>78</v>
      </c>
      <c r="C275" s="10" t="s">
        <v>78</v>
      </c>
      <c r="D275" s="11" t="s">
        <v>78</v>
      </c>
      <c r="E275" s="11" t="s">
        <v>78</v>
      </c>
    </row>
    <row r="276" spans="1:5" ht="15">
      <c r="A276" s="10" t="s">
        <v>78</v>
      </c>
      <c r="B276" s="10" t="s">
        <v>78</v>
      </c>
      <c r="C276" s="10" t="s">
        <v>78</v>
      </c>
      <c r="D276" s="11" t="s">
        <v>78</v>
      </c>
      <c r="E276" s="11" t="s">
        <v>78</v>
      </c>
    </row>
    <row r="277" spans="1:5" ht="15">
      <c r="A277" s="10" t="s">
        <v>78</v>
      </c>
      <c r="B277" s="10" t="s">
        <v>78</v>
      </c>
      <c r="C277" s="10" t="s">
        <v>78</v>
      </c>
      <c r="D277" s="11" t="s">
        <v>78</v>
      </c>
      <c r="E277" s="11" t="s">
        <v>78</v>
      </c>
    </row>
    <row r="278" spans="1:5" ht="15">
      <c r="A278" s="10" t="s">
        <v>78</v>
      </c>
      <c r="B278" s="10" t="s">
        <v>78</v>
      </c>
      <c r="C278" s="10" t="s">
        <v>78</v>
      </c>
      <c r="D278" s="11" t="s">
        <v>78</v>
      </c>
      <c r="E278" s="11" t="s">
        <v>78</v>
      </c>
    </row>
    <row r="279" spans="1:5" ht="15">
      <c r="A279" s="10" t="s">
        <v>78</v>
      </c>
      <c r="B279" s="10" t="s">
        <v>78</v>
      </c>
      <c r="C279" s="10" t="s">
        <v>78</v>
      </c>
      <c r="D279" s="11" t="s">
        <v>78</v>
      </c>
      <c r="E279" s="11" t="s">
        <v>78</v>
      </c>
    </row>
    <row r="280" spans="1:5" ht="15">
      <c r="A280" s="10" t="s">
        <v>78</v>
      </c>
      <c r="B280" s="10" t="s">
        <v>78</v>
      </c>
      <c r="C280" s="10" t="s">
        <v>78</v>
      </c>
      <c r="D280" s="11" t="s">
        <v>78</v>
      </c>
      <c r="E280" s="11" t="s">
        <v>78</v>
      </c>
    </row>
    <row r="281" spans="1:5" ht="15">
      <c r="A281" s="10" t="s">
        <v>78</v>
      </c>
      <c r="B281" s="10" t="s">
        <v>78</v>
      </c>
      <c r="C281" s="10" t="s">
        <v>78</v>
      </c>
      <c r="D281" s="11" t="s">
        <v>78</v>
      </c>
      <c r="E281" s="11" t="s">
        <v>78</v>
      </c>
    </row>
    <row r="282" spans="1:5" ht="15">
      <c r="A282" s="10" t="s">
        <v>78</v>
      </c>
      <c r="B282" s="10" t="s">
        <v>78</v>
      </c>
      <c r="C282" s="10" t="s">
        <v>78</v>
      </c>
      <c r="D282" s="11" t="s">
        <v>78</v>
      </c>
      <c r="E282" s="11" t="s">
        <v>78</v>
      </c>
    </row>
    <row r="283" spans="1:5" ht="15">
      <c r="A283" s="10" t="s">
        <v>78</v>
      </c>
      <c r="B283" s="10" t="s">
        <v>78</v>
      </c>
      <c r="C283" s="10" t="s">
        <v>78</v>
      </c>
      <c r="D283" s="11" t="s">
        <v>78</v>
      </c>
      <c r="E283" s="11" t="s">
        <v>78</v>
      </c>
    </row>
    <row r="284" spans="1:5" ht="15">
      <c r="A284" s="10" t="s">
        <v>78</v>
      </c>
      <c r="B284" s="10" t="s">
        <v>78</v>
      </c>
      <c r="C284" s="10" t="s">
        <v>78</v>
      </c>
      <c r="D284" s="11" t="s">
        <v>78</v>
      </c>
      <c r="E284" s="11" t="s">
        <v>78</v>
      </c>
    </row>
    <row r="285" spans="1:5" ht="15">
      <c r="A285" s="10" t="s">
        <v>78</v>
      </c>
      <c r="B285" s="10" t="s">
        <v>78</v>
      </c>
      <c r="C285" s="10" t="s">
        <v>78</v>
      </c>
      <c r="D285" s="11" t="s">
        <v>78</v>
      </c>
      <c r="E285" s="11" t="s">
        <v>78</v>
      </c>
    </row>
    <row r="286" spans="1:5" ht="15">
      <c r="A286" s="10" t="s">
        <v>78</v>
      </c>
      <c r="B286" s="10" t="s">
        <v>78</v>
      </c>
      <c r="C286" s="10" t="s">
        <v>78</v>
      </c>
      <c r="D286" s="11" t="s">
        <v>78</v>
      </c>
      <c r="E286" s="11" t="s">
        <v>78</v>
      </c>
    </row>
    <row r="287" spans="1:5" ht="15">
      <c r="A287" s="10" t="s">
        <v>78</v>
      </c>
      <c r="B287" s="10" t="s">
        <v>78</v>
      </c>
      <c r="C287" s="10" t="s">
        <v>78</v>
      </c>
      <c r="D287" s="11" t="s">
        <v>78</v>
      </c>
      <c r="E287" s="11" t="s">
        <v>78</v>
      </c>
    </row>
    <row r="288" spans="1:5" ht="15">
      <c r="A288" s="10" t="s">
        <v>78</v>
      </c>
      <c r="B288" s="10" t="s">
        <v>78</v>
      </c>
      <c r="C288" s="10" t="s">
        <v>78</v>
      </c>
      <c r="D288" s="11" t="s">
        <v>78</v>
      </c>
      <c r="E288" s="11" t="s">
        <v>78</v>
      </c>
    </row>
    <row r="289" spans="1:5" ht="15">
      <c r="A289" s="10" t="s">
        <v>78</v>
      </c>
      <c r="B289" s="10" t="s">
        <v>78</v>
      </c>
      <c r="C289" s="10" t="s">
        <v>78</v>
      </c>
      <c r="D289" s="11" t="s">
        <v>78</v>
      </c>
      <c r="E289" s="11" t="s">
        <v>78</v>
      </c>
    </row>
    <row r="290" spans="1:5" ht="15">
      <c r="A290" s="10" t="s">
        <v>78</v>
      </c>
      <c r="B290" s="10" t="s">
        <v>78</v>
      </c>
      <c r="C290" s="10" t="s">
        <v>78</v>
      </c>
      <c r="D290" s="11" t="s">
        <v>78</v>
      </c>
      <c r="E290" s="11" t="s">
        <v>78</v>
      </c>
    </row>
    <row r="291" spans="1:5" ht="15">
      <c r="A291" s="10" t="s">
        <v>78</v>
      </c>
      <c r="B291" s="10" t="s">
        <v>78</v>
      </c>
      <c r="C291" s="10" t="s">
        <v>78</v>
      </c>
      <c r="D291" s="11" t="s">
        <v>78</v>
      </c>
      <c r="E291" s="11" t="s">
        <v>78</v>
      </c>
    </row>
    <row r="292" spans="1:5" ht="15">
      <c r="A292" s="10" t="s">
        <v>78</v>
      </c>
      <c r="B292" s="10" t="s">
        <v>78</v>
      </c>
      <c r="C292" s="10" t="s">
        <v>78</v>
      </c>
      <c r="D292" s="11" t="s">
        <v>78</v>
      </c>
      <c r="E292" s="11" t="s">
        <v>78</v>
      </c>
    </row>
    <row r="293" spans="1:5" ht="15">
      <c r="A293" s="10" t="s">
        <v>78</v>
      </c>
      <c r="B293" s="10" t="s">
        <v>78</v>
      </c>
      <c r="C293" s="10" t="s">
        <v>78</v>
      </c>
      <c r="D293" s="11" t="s">
        <v>78</v>
      </c>
      <c r="E293" s="11" t="s">
        <v>78</v>
      </c>
    </row>
  </sheetData>
  <sheetProtection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00390625" style="22" customWidth="1"/>
    <col min="2" max="2" width="4.125" style="23" customWidth="1"/>
    <col min="3" max="3" width="32.625" style="20" customWidth="1"/>
    <col min="4" max="4" width="4.00390625" style="22" customWidth="1"/>
    <col min="5" max="5" width="17.00390625" style="20" customWidth="1"/>
    <col min="6" max="6" width="17.00390625" style="25" customWidth="1"/>
    <col min="7" max="7" width="17.00390625" style="30" customWidth="1"/>
    <col min="8" max="8" width="17.00390625" style="20" customWidth="1"/>
    <col min="9" max="16384" width="9.125" style="20" customWidth="1"/>
  </cols>
  <sheetData>
    <row r="1" spans="1:10" ht="22.5" customHeight="1">
      <c r="A1" s="196" t="s">
        <v>73</v>
      </c>
      <c r="B1" s="196"/>
      <c r="C1" s="196"/>
      <c r="D1" s="196"/>
      <c r="E1" s="196"/>
      <c r="F1" s="196"/>
      <c r="G1" s="196"/>
      <c r="H1" s="196"/>
      <c r="J1" s="21"/>
    </row>
    <row r="2" spans="1:8" ht="18.75">
      <c r="A2" s="192" t="s">
        <v>272</v>
      </c>
      <c r="B2" s="192"/>
      <c r="C2" s="192"/>
      <c r="D2" s="192"/>
      <c r="E2" s="192"/>
      <c r="F2" s="192"/>
      <c r="G2" s="192"/>
      <c r="H2" s="192"/>
    </row>
    <row r="3" spans="3:13" ht="15.75">
      <c r="C3" s="22"/>
      <c r="D3" s="24"/>
      <c r="G3" s="197" t="s">
        <v>75</v>
      </c>
      <c r="H3" s="197"/>
      <c r="I3" s="26"/>
      <c r="J3" s="26"/>
      <c r="K3" s="26"/>
      <c r="L3" s="26"/>
      <c r="M3" s="26"/>
    </row>
    <row r="4" spans="1:10" ht="12.75" customHeight="1">
      <c r="A4" s="27">
        <v>1</v>
      </c>
      <c r="B4" s="28">
        <v>13</v>
      </c>
      <c r="C4" s="29" t="s">
        <v>273</v>
      </c>
      <c r="E4" s="22"/>
      <c r="F4" s="30"/>
      <c r="H4" s="31" t="s">
        <v>6</v>
      </c>
      <c r="J4" s="32"/>
    </row>
    <row r="5" spans="1:8" ht="12.75" customHeight="1">
      <c r="A5" s="27"/>
      <c r="C5" s="22"/>
      <c r="D5" s="193">
        <v>1</v>
      </c>
      <c r="E5" s="33" t="s">
        <v>97</v>
      </c>
      <c r="F5" s="34"/>
      <c r="G5" s="35"/>
      <c r="H5" s="35"/>
    </row>
    <row r="6" spans="1:8" ht="12.75" customHeight="1">
      <c r="A6" s="27">
        <v>2</v>
      </c>
      <c r="B6" s="28" t="s">
        <v>78</v>
      </c>
      <c r="C6" s="36" t="s">
        <v>79</v>
      </c>
      <c r="D6" s="194"/>
      <c r="E6" s="37" t="s">
        <v>78</v>
      </c>
      <c r="F6" s="38"/>
      <c r="H6" s="30"/>
    </row>
    <row r="7" spans="1:8" ht="12.75" customHeight="1">
      <c r="A7" s="27"/>
      <c r="C7" s="22"/>
      <c r="D7" s="39"/>
      <c r="E7" s="195">
        <v>33</v>
      </c>
      <c r="F7" s="40" t="s">
        <v>97</v>
      </c>
      <c r="G7" s="41"/>
      <c r="H7" s="22"/>
    </row>
    <row r="8" spans="1:8" ht="12.75" customHeight="1">
      <c r="A8" s="27">
        <v>3</v>
      </c>
      <c r="B8" s="28">
        <v>37</v>
      </c>
      <c r="C8" s="36" t="s">
        <v>180</v>
      </c>
      <c r="D8" s="39"/>
      <c r="E8" s="195"/>
      <c r="F8" s="40" t="s">
        <v>274</v>
      </c>
      <c r="G8" s="40"/>
      <c r="H8" s="22"/>
    </row>
    <row r="9" spans="1:8" ht="12.75" customHeight="1">
      <c r="A9" s="27"/>
      <c r="C9" s="22"/>
      <c r="D9" s="193">
        <v>2</v>
      </c>
      <c r="E9" s="42" t="s">
        <v>126</v>
      </c>
      <c r="F9" s="40"/>
      <c r="G9" s="40"/>
      <c r="H9" s="22"/>
    </row>
    <row r="10" spans="1:8" ht="12.75" customHeight="1">
      <c r="A10" s="27">
        <v>4</v>
      </c>
      <c r="B10" s="28">
        <v>42</v>
      </c>
      <c r="C10" s="29" t="s">
        <v>193</v>
      </c>
      <c r="D10" s="194"/>
      <c r="E10" s="43" t="s">
        <v>275</v>
      </c>
      <c r="F10" s="40"/>
      <c r="G10" s="40"/>
      <c r="H10" s="22"/>
    </row>
    <row r="11" spans="1:8" ht="12.75" customHeight="1">
      <c r="A11" s="27"/>
      <c r="C11" s="22"/>
      <c r="D11" s="39"/>
      <c r="E11" s="44"/>
      <c r="F11" s="190">
        <v>49</v>
      </c>
      <c r="G11" s="40" t="s">
        <v>133</v>
      </c>
      <c r="H11" s="38"/>
    </row>
    <row r="12" spans="1:8" ht="12.75" customHeight="1">
      <c r="A12" s="27">
        <v>5</v>
      </c>
      <c r="B12" s="28">
        <v>57</v>
      </c>
      <c r="C12" s="29" t="s">
        <v>182</v>
      </c>
      <c r="D12" s="39"/>
      <c r="E12" s="44"/>
      <c r="F12" s="190"/>
      <c r="G12" s="40" t="s">
        <v>276</v>
      </c>
      <c r="H12" s="38"/>
    </row>
    <row r="13" spans="1:8" ht="12.75" customHeight="1">
      <c r="A13" s="27"/>
      <c r="C13" s="22"/>
      <c r="D13" s="193">
        <v>3</v>
      </c>
      <c r="E13" s="33" t="s">
        <v>183</v>
      </c>
      <c r="F13" s="40"/>
      <c r="G13" s="40"/>
      <c r="H13" s="38"/>
    </row>
    <row r="14" spans="1:8" ht="12.75" customHeight="1">
      <c r="A14" s="27">
        <v>6</v>
      </c>
      <c r="B14" s="28" t="s">
        <v>78</v>
      </c>
      <c r="C14" s="36" t="s">
        <v>79</v>
      </c>
      <c r="D14" s="194"/>
      <c r="E14" s="37" t="s">
        <v>78</v>
      </c>
      <c r="F14" s="40"/>
      <c r="G14" s="40"/>
      <c r="H14" s="38"/>
    </row>
    <row r="15" spans="1:8" ht="12.75" customHeight="1">
      <c r="A15" s="27"/>
      <c r="C15" s="22"/>
      <c r="D15" s="39"/>
      <c r="E15" s="195">
        <v>34</v>
      </c>
      <c r="F15" s="40" t="s">
        <v>133</v>
      </c>
      <c r="G15" s="40"/>
      <c r="H15" s="38"/>
    </row>
    <row r="16" spans="1:8" ht="12.75" customHeight="1">
      <c r="A16" s="27">
        <v>7</v>
      </c>
      <c r="B16" s="28" t="s">
        <v>78</v>
      </c>
      <c r="C16" s="36" t="s">
        <v>79</v>
      </c>
      <c r="D16" s="45"/>
      <c r="E16" s="195"/>
      <c r="F16" s="40" t="s">
        <v>277</v>
      </c>
      <c r="G16" s="40"/>
      <c r="H16" s="38"/>
    </row>
    <row r="17" spans="1:8" ht="12.75" customHeight="1">
      <c r="A17" s="27"/>
      <c r="C17" s="22"/>
      <c r="D17" s="193">
        <v>4</v>
      </c>
      <c r="E17" s="42" t="s">
        <v>133</v>
      </c>
      <c r="F17" s="46"/>
      <c r="G17" s="40"/>
      <c r="H17" s="38"/>
    </row>
    <row r="18" spans="1:8" ht="12.75" customHeight="1">
      <c r="A18" s="27">
        <v>8</v>
      </c>
      <c r="B18" s="28">
        <v>24</v>
      </c>
      <c r="C18" s="29" t="s">
        <v>278</v>
      </c>
      <c r="D18" s="194"/>
      <c r="E18" s="43" t="s">
        <v>78</v>
      </c>
      <c r="F18" s="40"/>
      <c r="G18" s="40"/>
      <c r="H18" s="38"/>
    </row>
    <row r="19" spans="1:8" ht="12.75" customHeight="1">
      <c r="A19" s="27"/>
      <c r="C19" s="22"/>
      <c r="D19" s="39"/>
      <c r="F19" s="47"/>
      <c r="G19" s="190" t="s">
        <v>78</v>
      </c>
      <c r="H19" s="48" t="s">
        <v>78</v>
      </c>
    </row>
    <row r="20" spans="1:8" ht="12.75" customHeight="1">
      <c r="A20" s="27">
        <v>9</v>
      </c>
      <c r="B20" s="28">
        <v>23</v>
      </c>
      <c r="C20" s="29" t="s">
        <v>279</v>
      </c>
      <c r="D20" s="49"/>
      <c r="E20" s="44"/>
      <c r="F20" s="46"/>
      <c r="G20" s="190"/>
      <c r="H20" s="40" t="s">
        <v>78</v>
      </c>
    </row>
    <row r="21" spans="1:8" ht="12.75" customHeight="1">
      <c r="A21" s="27"/>
      <c r="C21" s="50"/>
      <c r="D21" s="193">
        <v>5</v>
      </c>
      <c r="E21" s="33" t="s">
        <v>159</v>
      </c>
      <c r="F21" s="38"/>
      <c r="G21" s="40"/>
      <c r="H21" s="38"/>
    </row>
    <row r="22" spans="1:8" ht="12.75" customHeight="1">
      <c r="A22" s="27">
        <v>10</v>
      </c>
      <c r="B22" s="28" t="s">
        <v>78</v>
      </c>
      <c r="C22" s="36" t="s">
        <v>79</v>
      </c>
      <c r="D22" s="194"/>
      <c r="E22" s="37" t="s">
        <v>78</v>
      </c>
      <c r="F22" s="38"/>
      <c r="G22" s="40"/>
      <c r="H22" s="38"/>
    </row>
    <row r="23" spans="1:8" ht="12.75" customHeight="1">
      <c r="A23" s="27"/>
      <c r="C23" s="27"/>
      <c r="D23" s="51"/>
      <c r="E23" s="195">
        <v>35</v>
      </c>
      <c r="F23" s="47" t="s">
        <v>159</v>
      </c>
      <c r="G23" s="40"/>
      <c r="H23" s="38"/>
    </row>
    <row r="24" spans="1:8" ht="12.75" customHeight="1">
      <c r="A24" s="27">
        <v>11</v>
      </c>
      <c r="B24" s="28">
        <v>45</v>
      </c>
      <c r="C24" s="36" t="s">
        <v>192</v>
      </c>
      <c r="D24" s="51"/>
      <c r="E24" s="195"/>
      <c r="F24" s="52" t="s">
        <v>280</v>
      </c>
      <c r="G24" s="40"/>
      <c r="H24" s="38"/>
    </row>
    <row r="25" spans="1:8" ht="12.75" customHeight="1">
      <c r="A25" s="27"/>
      <c r="C25" s="50"/>
      <c r="D25" s="193">
        <v>6</v>
      </c>
      <c r="E25" s="33" t="s">
        <v>102</v>
      </c>
      <c r="F25" s="53"/>
      <c r="G25" s="40"/>
      <c r="H25" s="38"/>
    </row>
    <row r="26" spans="1:8" ht="12.75" customHeight="1">
      <c r="A26" s="27">
        <v>12</v>
      </c>
      <c r="B26" s="28">
        <v>36</v>
      </c>
      <c r="C26" s="29" t="s">
        <v>195</v>
      </c>
      <c r="D26" s="194"/>
      <c r="E26" s="43" t="s">
        <v>281</v>
      </c>
      <c r="F26" s="38"/>
      <c r="G26" s="40"/>
      <c r="H26" s="38"/>
    </row>
    <row r="27" spans="1:8" ht="12.75" customHeight="1">
      <c r="A27" s="27"/>
      <c r="C27" s="27"/>
      <c r="D27" s="51"/>
      <c r="E27" s="54"/>
      <c r="F27" s="190">
        <v>50</v>
      </c>
      <c r="G27" s="40" t="s">
        <v>247</v>
      </c>
      <c r="H27" s="38"/>
    </row>
    <row r="28" spans="1:8" ht="12.75" customHeight="1">
      <c r="A28" s="27">
        <v>13</v>
      </c>
      <c r="B28" s="28">
        <v>31</v>
      </c>
      <c r="C28" s="29" t="s">
        <v>177</v>
      </c>
      <c r="D28" s="49"/>
      <c r="E28" s="22"/>
      <c r="F28" s="190"/>
      <c r="G28" s="40" t="s">
        <v>282</v>
      </c>
      <c r="H28" s="48"/>
    </row>
    <row r="29" spans="1:8" ht="12.75" customHeight="1">
      <c r="A29" s="27"/>
      <c r="C29" s="55"/>
      <c r="D29" s="193">
        <v>7</v>
      </c>
      <c r="E29" s="33" t="s">
        <v>247</v>
      </c>
      <c r="F29" s="56"/>
      <c r="G29" s="40"/>
      <c r="H29" s="40"/>
    </row>
    <row r="30" spans="1:8" ht="12.75" customHeight="1">
      <c r="A30" s="27">
        <v>14</v>
      </c>
      <c r="B30" s="28">
        <v>41</v>
      </c>
      <c r="C30" s="36" t="s">
        <v>283</v>
      </c>
      <c r="D30" s="194"/>
      <c r="E30" s="43" t="s">
        <v>284</v>
      </c>
      <c r="F30" s="57"/>
      <c r="G30" s="40"/>
      <c r="H30" s="40"/>
    </row>
    <row r="31" spans="1:8" ht="12.75" customHeight="1">
      <c r="A31" s="27"/>
      <c r="C31" s="27"/>
      <c r="D31" s="49"/>
      <c r="E31" s="195">
        <v>36</v>
      </c>
      <c r="F31" s="58" t="s">
        <v>247</v>
      </c>
      <c r="G31" s="40"/>
      <c r="H31" s="40"/>
    </row>
    <row r="32" spans="1:8" ht="12.75" customHeight="1">
      <c r="A32" s="27">
        <v>15</v>
      </c>
      <c r="B32" s="28" t="s">
        <v>78</v>
      </c>
      <c r="C32" s="36" t="s">
        <v>79</v>
      </c>
      <c r="D32" s="49"/>
      <c r="E32" s="195"/>
      <c r="F32" s="52" t="s">
        <v>285</v>
      </c>
      <c r="G32" s="40"/>
      <c r="H32" s="59"/>
    </row>
    <row r="33" spans="1:8" ht="12.75" customHeight="1">
      <c r="A33" s="27"/>
      <c r="C33" s="50"/>
      <c r="D33" s="193">
        <v>8</v>
      </c>
      <c r="E33" s="33" t="s">
        <v>70</v>
      </c>
      <c r="F33" s="57"/>
      <c r="G33" s="40"/>
      <c r="H33" s="40"/>
    </row>
    <row r="34" spans="1:8" ht="12.75" customHeight="1">
      <c r="A34" s="27">
        <v>16</v>
      </c>
      <c r="B34" s="28">
        <v>21</v>
      </c>
      <c r="C34" s="29" t="s">
        <v>204</v>
      </c>
      <c r="D34" s="194"/>
      <c r="E34" s="43" t="s">
        <v>78</v>
      </c>
      <c r="F34" s="56"/>
      <c r="G34" s="40"/>
      <c r="H34" s="40"/>
    </row>
    <row r="35" spans="1:8" ht="15.75" customHeight="1">
      <c r="A35" s="27"/>
      <c r="B35" s="27"/>
      <c r="D35" s="20"/>
      <c r="F35" s="56"/>
      <c r="G35" s="40"/>
      <c r="H35" s="60"/>
    </row>
    <row r="36" spans="1:8" ht="12.75" customHeight="1">
      <c r="A36" s="27">
        <v>17</v>
      </c>
      <c r="B36" s="28">
        <f>IF('[1]copy_I.st_KO_afterdraw'!$C$23="","",'[1]copy_I.st_KO_afterdraw'!$C$23)</f>
        <v>17</v>
      </c>
      <c r="C36" s="29" t="str">
        <f>IF(B36="","bye",CONCATENATE(VLOOKUP(B36,'[1]Rank'!$A$3:$D$300,2),"  (",VLOOKUP(B36,'[1]Rank'!$A$3:$D$300,3),")"))</f>
        <v>Sazimová Terezie  (TJ Sokol PP Hradec Králové 2)</v>
      </c>
      <c r="D36" s="39"/>
      <c r="F36" s="46"/>
      <c r="G36" s="40"/>
      <c r="H36" s="60"/>
    </row>
    <row r="37" spans="1:8" ht="12.75" customHeight="1">
      <c r="A37" s="27"/>
      <c r="B37" s="27"/>
      <c r="C37" s="55"/>
      <c r="D37" s="193">
        <v>9</v>
      </c>
      <c r="E37" s="33" t="str">
        <f>IF(OR($B36="",$B38=""),IF($B36="",IF($B38="","",'[1]I.st-výs-KO'!$F10),'[1]I.st-výs-KO'!$C10),'[1]I.st-výs-KO'!$Q10)</f>
        <v>Sazimová Terezie</v>
      </c>
      <c r="F37" s="46"/>
      <c r="G37" s="40"/>
      <c r="H37" s="40"/>
    </row>
    <row r="38" spans="1:8" ht="12.75" customHeight="1">
      <c r="A38" s="27">
        <v>18</v>
      </c>
      <c r="B38" s="28">
        <f>IF('[1]copy_I.st_KO_afterdraw'!$C$24="","",'[1]copy_I.st_KO_afterdraw'!$C$24)</f>
      </c>
      <c r="C38" s="36" t="str">
        <f>IF(B38="","bye",CONCATENATE(VLOOKUP(B38,'[1]Rank'!$A$3:$D$300,2),"  (",VLOOKUP(B38,'[1]Rank'!$A$3:$D$300,3),")"))</f>
        <v>bye</v>
      </c>
      <c r="D38" s="194"/>
      <c r="E38" s="43">
        <f>IF($B36="","",IF($B38="","",IF('[1]I.st-výs-KO'!$P10="","",'[1]I.st-výs-KO'!$S10)))</f>
      </c>
      <c r="F38" s="57"/>
      <c r="G38" s="40"/>
      <c r="H38" s="40"/>
    </row>
    <row r="39" spans="1:8" ht="12.75" customHeight="1">
      <c r="A39" s="27"/>
      <c r="B39" s="27"/>
      <c r="D39" s="20"/>
      <c r="E39" s="195">
        <f>IF(AND('[1]Turnaj'!$L$10=16,'[1]copy_before_draw_I_st'!$F$1&gt;64),69,IF(AND('[1]Turnaj'!$L$10=8,'[1]copy_before_draw_I_st'!$F$1&gt;64),69,IF(AND('[1]Turnaj'!$L$10=16,'[1]copy_before_draw_I_st'!$F$1&lt;=64),37,IF(AND('[1]Turnaj'!$L$10=8,'[1]copy_before_draw_I_st'!$F$1&lt;=64),37,""))))</f>
        <v>37</v>
      </c>
      <c r="F39" s="47" t="str">
        <f>IF($E$39=37,IF('[1]I.st-výs-KO'!$Q39="","",'[1]I.st-výs-KO'!$Q39),IF($E$39=69,IF('[1]I.st-výs-KO'!$Q71="","",'[1]I.st-výs-KO'!$Q71),""))</f>
        <v>Šprtová Karolína</v>
      </c>
      <c r="G39" s="40"/>
      <c r="H39" s="40"/>
    </row>
    <row r="40" spans="1:8" ht="12.75" customHeight="1">
      <c r="A40" s="27">
        <v>19</v>
      </c>
      <c r="B40" s="28">
        <f>IF('[1]copy_I.st_KO_afterdraw'!$C$25="","",'[1]copy_I.st_KO_afterdraw'!$C$25)</f>
        <v>54</v>
      </c>
      <c r="C40" s="36" t="str">
        <f>IF(B40="","bye",CONCATENATE(VLOOKUP(B40,'[1]Rank'!$A$3:$D$300,2),"  (",VLOOKUP(B40,'[1]Rank'!$A$3:$D$300,3),")"))</f>
        <v>Šprtová Karolína  (SKST Hodonín)</v>
      </c>
      <c r="D40" s="51"/>
      <c r="E40" s="195"/>
      <c r="F40" s="52" t="str">
        <f>IF($E$39=37,IF('[1]I.st-výs-KO'!$P39="","",'[1]I.st-výs-KO'!$S39),IF($E$39=69,IF('[1]I.st-výs-KO'!$P71="","",'[1]I.st-výs-KO'!$S71),""))</f>
        <v>3:2 (9,-8,9,-12,9)</v>
      </c>
      <c r="G40" s="40"/>
      <c r="H40" s="40"/>
    </row>
    <row r="41" spans="1:8" ht="12.75" customHeight="1">
      <c r="A41" s="27"/>
      <c r="B41" s="27"/>
      <c r="C41" s="50"/>
      <c r="D41" s="193">
        <v>10</v>
      </c>
      <c r="E41" s="33" t="str">
        <f>IF(OR($B40="",$B42=""),IF($B40="",IF($B42="","",'[1]I.st-výs-KO'!$F11),'[1]I.st-výs-KO'!$C11),'[1]I.st-výs-KO'!$Q11)</f>
        <v>Šprtová Karolína</v>
      </c>
      <c r="F41" s="57"/>
      <c r="G41" s="40"/>
      <c r="H41" s="40"/>
    </row>
    <row r="42" spans="1:8" ht="12.75" customHeight="1">
      <c r="A42" s="27">
        <v>20</v>
      </c>
      <c r="B42" s="28">
        <f>IF('[1]copy_I.st_KO_afterdraw'!$C$26="","",'[1]copy_I.st_KO_afterdraw'!$C$26)</f>
        <v>86</v>
      </c>
      <c r="C42" s="29" t="str">
        <f>IF(B42="","bye",CONCATENATE(VLOOKUP(B42,'[1]Rank'!$A$3:$D$300,2),"  (",VLOOKUP(B42,'[1]Rank'!$A$3:$D$300,3),")"))</f>
        <v>Vodáková Aneta  (TJ Sokol Klobouky u Brna)</v>
      </c>
      <c r="D42" s="194"/>
      <c r="E42" s="43" t="str">
        <f>IF($B40="","",IF($B42="","",IF('[1]I.st-výs-KO'!$P11="","",'[1]I.st-výs-KO'!$S11)))</f>
        <v>3:0 (5,7,9)</v>
      </c>
      <c r="F42" s="56"/>
      <c r="G42" s="40"/>
      <c r="H42" s="40"/>
    </row>
    <row r="43" spans="1:8" ht="12.75" customHeight="1">
      <c r="A43" s="27"/>
      <c r="B43" s="27"/>
      <c r="C43" s="27"/>
      <c r="D43" s="51"/>
      <c r="E43" s="27"/>
      <c r="F43" s="190">
        <f>IF(AND('[1]Turnaj'!$L$10=16,'[1]copy_before_draw_I_st'!$F$1&gt;64),99,IF(AND('[1]Turnaj'!$L$10=8,'[1]copy_before_draw_I_st'!$F$1&gt;64),99,IF(AND('[1]Turnaj'!$L$10=8,'[1]copy_before_draw_I_st'!$F$1&lt;=64),51,"")))</f>
        <v>51</v>
      </c>
      <c r="G43" s="40" t="str">
        <f>IF($F$43=51,IF('[1]I.st-výs-KO'!$Q54="","",'[1]I.st-výs-KO'!$Q54),IF($F$43=99,IF('[1]I.st-výs-KO'!$Q102="","",'[1]I.st-výs-KO'!$Q102),""))</f>
        <v>Bošinová Aneta</v>
      </c>
      <c r="H43" s="40"/>
    </row>
    <row r="44" spans="1:8" ht="12.75" customHeight="1">
      <c r="A44" s="27">
        <v>21</v>
      </c>
      <c r="B44" s="28">
        <f>IF('[1]copy_I.st_KO_afterdraw'!$C$27="","",'[1]copy_I.st_KO_afterdraw'!$C$27)</f>
        <v>30</v>
      </c>
      <c r="C44" s="29" t="str">
        <f>IF(B44="","bye",CONCATENATE(VLOOKUP(B44,'[1]Rank'!$A$3:$D$300,2),"  (",VLOOKUP(B44,'[1]Rank'!$A$3:$D$300,3),")"))</f>
        <v>Daňová Barbora  (SK Frýdlant nad Ostravicí)</v>
      </c>
      <c r="D44" s="51"/>
      <c r="E44" s="27"/>
      <c r="F44" s="190"/>
      <c r="G44" s="40" t="str">
        <f>IF($F$43=51,IF('[1]I.st-výs-KO'!$P54="","",'[1]I.st-výs-KO'!$S54),IF($F$43=99,IF('[1]I.st-výs-KO'!$P102="","",'[1]I.st-výs-KO'!$S102),""))</f>
        <v>3:1 (8,3,-9,13)</v>
      </c>
      <c r="H44" s="40"/>
    </row>
    <row r="45" spans="1:8" ht="12.75" customHeight="1">
      <c r="A45" s="27"/>
      <c r="B45" s="27"/>
      <c r="C45" s="50"/>
      <c r="D45" s="193">
        <v>11</v>
      </c>
      <c r="E45" s="33" t="str">
        <f>IF(OR($B44="",$B46=""),IF($B44="",IF($B46="","",'[1]I.st-výs-KO'!$F12),'[1]I.st-výs-KO'!$C12),'[1]I.st-výs-KO'!$Q12)</f>
        <v>Daňová Barbora</v>
      </c>
      <c r="F45" s="56"/>
      <c r="G45" s="40"/>
      <c r="H45" s="40"/>
    </row>
    <row r="46" spans="1:8" ht="12.75" customHeight="1">
      <c r="A46" s="27">
        <v>22</v>
      </c>
      <c r="B46" s="28">
        <f>IF('[1]copy_I.st_KO_afterdraw'!$C$28="","",'[1]copy_I.st_KO_afterdraw'!$C$28)</f>
        <v>77</v>
      </c>
      <c r="C46" s="36" t="str">
        <f>IF(B46="","bye",CONCATENATE(VLOOKUP(B46,'[1]Rank'!$A$3:$D$300,2),"  (",VLOOKUP(B46,'[1]Rank'!$A$3:$D$300,3),")"))</f>
        <v>Cerovská Nikol  (MSK Břeclav)</v>
      </c>
      <c r="D46" s="194"/>
      <c r="E46" s="43" t="str">
        <f>IF($B44="","",IF($B46="","",IF('[1]I.st-výs-KO'!$P12="","",'[1]I.st-výs-KO'!$S12)))</f>
        <v>3:0 (7,7,9)</v>
      </c>
      <c r="F46" s="57"/>
      <c r="G46" s="40"/>
      <c r="H46" s="40"/>
    </row>
    <row r="47" spans="1:8" ht="12.75" customHeight="1">
      <c r="A47" s="27"/>
      <c r="B47" s="27"/>
      <c r="C47" s="27"/>
      <c r="D47" s="51"/>
      <c r="E47" s="195">
        <f>IF(AND('[1]Turnaj'!$L$10=16,'[1]copy_before_draw_I_st'!$F$1&gt;64),70,IF(AND('[1]Turnaj'!$L$10=8,'[1]copy_before_draw_I_st'!$F$1&gt;64),70,IF(AND('[1]Turnaj'!$L$10=16,'[1]copy_before_draw_I_st'!$F$1&lt;=64),38,IF(AND('[1]Turnaj'!$L$10=8,'[1]copy_before_draw_I_st'!$F$1&lt;=64),38,""))))</f>
        <v>38</v>
      </c>
      <c r="F47" s="58" t="str">
        <f>IF($E$47=38,IF('[1]I.st-výs-KO'!$Q40="","",'[1]I.st-výs-KO'!$Q40),IF($E$47=70,IF('[1]I.st-výs-KO'!$Q72="","",'[1]I.st-výs-KO'!$Q72),""))</f>
        <v>Bošinová Aneta</v>
      </c>
      <c r="G47" s="40"/>
      <c r="H47" s="40"/>
    </row>
    <row r="48" spans="1:8" ht="12.75" customHeight="1">
      <c r="A48" s="27">
        <v>23</v>
      </c>
      <c r="B48" s="28">
        <f>IF('[1]copy_I.st_KO_afterdraw'!$C$29="","",'[1]copy_I.st_KO_afterdraw'!$C$29)</f>
      </c>
      <c r="C48" s="36" t="str">
        <f>IF(B48="","bye",CONCATENATE(VLOOKUP(B48,'[1]Rank'!$A$3:$D$300,2),"  (",VLOOKUP(B48,'[1]Rank'!$A$3:$D$300,3),")"))</f>
        <v>bye</v>
      </c>
      <c r="D48" s="51"/>
      <c r="E48" s="195"/>
      <c r="F48" s="52" t="str">
        <f>IF($E$47=38,IF('[1]I.st-výs-KO'!$P40="","",'[1]I.st-výs-KO'!$S40),IF($E$47=70,IF('[1]I.st-výs-KO'!$P72="","",'[1]I.st-výs-KO'!$S72),""))</f>
        <v>3:1 (7,-9,8,9)</v>
      </c>
      <c r="G48" s="40"/>
      <c r="H48" s="40"/>
    </row>
    <row r="49" spans="1:8" ht="12.75" customHeight="1">
      <c r="A49" s="27"/>
      <c r="B49" s="27"/>
      <c r="C49" s="50"/>
      <c r="D49" s="193">
        <v>12</v>
      </c>
      <c r="E49" s="33" t="str">
        <f>IF(OR($B48="",$B50=""),IF($B48="",IF($B50="","",'[1]I.st-výs-KO'!$F13),'[1]I.st-výs-KO'!$C13),'[1]I.st-výs-KO'!$Q13)</f>
        <v>Bošinová Aneta</v>
      </c>
      <c r="F49" s="57"/>
      <c r="G49" s="40"/>
      <c r="H49" s="40"/>
    </row>
    <row r="50" spans="1:8" ht="12.75" customHeight="1">
      <c r="A50" s="27">
        <v>24</v>
      </c>
      <c r="B50" s="28">
        <f>IF('[1]copy_I.st_KO_afterdraw'!$C$30="","",'[1]copy_I.st_KO_afterdraw'!$C$30)</f>
        <v>28</v>
      </c>
      <c r="C50" s="29" t="str">
        <f>IF(B50="","bye",CONCATENATE(VLOOKUP(B50,'[1]Rank'!$A$3:$D$300,2),"  (",VLOOKUP(B50,'[1]Rank'!$A$3:$D$300,3),")"))</f>
        <v>Bošinová Aneta  (SKST Vlašim)</v>
      </c>
      <c r="D50" s="194"/>
      <c r="E50" s="43">
        <f>IF($B48="","",IF($B50="","",IF('[1]I.st-výs-KO'!$P13="","",'[1]I.st-výs-KO'!$S13)))</f>
      </c>
      <c r="F50" s="56"/>
      <c r="G50" s="40"/>
      <c r="H50" s="40"/>
    </row>
    <row r="51" spans="1:8" ht="12.75" customHeight="1">
      <c r="A51" s="27"/>
      <c r="B51" s="27"/>
      <c r="C51" s="27"/>
      <c r="D51" s="51"/>
      <c r="E51" s="27"/>
      <c r="F51" s="56"/>
      <c r="G51" s="190">
        <f>IF(AND('[1]Turnaj'!$L$10=8,'[1]copy_before_draw_I_st'!$F$1&gt;64),114,"")</f>
      </c>
      <c r="H51" s="48">
        <f>IF($G$51=114,IF('[1]I.st-výs-KO'!$Q118="","",'[1]I.st-výs-KO'!$Q118),"")</f>
      </c>
    </row>
    <row r="52" spans="1:8" ht="12.75" customHeight="1">
      <c r="A52" s="27">
        <v>25</v>
      </c>
      <c r="B52" s="28">
        <f>IF('[1]copy_I.st_KO_afterdraw'!$C$31="","",'[1]copy_I.st_KO_afterdraw'!$C$31)</f>
        <v>25</v>
      </c>
      <c r="C52" s="29" t="str">
        <f>IF(B52="","bye",CONCATENATE(VLOOKUP(B52,'[1]Rank'!$A$3:$D$300,2),"  (",VLOOKUP(B52,'[1]Rank'!$A$3:$D$300,3),")"))</f>
        <v>Koblovská Dominika  (TJ Ostrava KST)</v>
      </c>
      <c r="D52" s="51"/>
      <c r="E52" s="27"/>
      <c r="F52" s="56"/>
      <c r="G52" s="190"/>
      <c r="H52" s="40">
        <f>IF($G$51=114,IF('[1]I.st-výs-KO'!$P118="","",'[1]I.st-výs-KO'!$S118),"")</f>
      </c>
    </row>
    <row r="53" spans="1:8" ht="12.75" customHeight="1">
      <c r="A53" s="27"/>
      <c r="B53" s="27"/>
      <c r="C53" s="50"/>
      <c r="D53" s="193">
        <v>13</v>
      </c>
      <c r="E53" s="33" t="str">
        <f>IF(OR($B52="",$B54=""),IF($B52="",IF($B54="","",'[1]I.st-výs-KO'!$F14),'[1]I.st-výs-KO'!$C14),'[1]I.st-výs-KO'!$Q14)</f>
        <v>Koblovská Dominika</v>
      </c>
      <c r="F53" s="56"/>
      <c r="G53" s="40"/>
      <c r="H53" s="40"/>
    </row>
    <row r="54" spans="1:8" ht="12.75" customHeight="1">
      <c r="A54" s="27">
        <v>26</v>
      </c>
      <c r="B54" s="28">
        <f>IF('[1]copy_I.st_KO_afterdraw'!$C$32="","",'[1]copy_I.st_KO_afterdraw'!$C$32)</f>
      </c>
      <c r="C54" s="36" t="str">
        <f>IF(B54="","bye",CONCATENATE(VLOOKUP(B54,'[1]Rank'!$A$3:$D$300,2),"  (",VLOOKUP(B54,'[1]Rank'!$A$3:$D$300,3),")"))</f>
        <v>bye</v>
      </c>
      <c r="D54" s="194"/>
      <c r="E54" s="37">
        <f>IF($B52="","",IF($B54="","",IF('[1]I.st-výs-KO'!$P14="","",'[1]I.st-výs-KO'!$S14)))</f>
      </c>
      <c r="F54" s="56"/>
      <c r="G54" s="40"/>
      <c r="H54" s="40"/>
    </row>
    <row r="55" spans="1:8" ht="12.75" customHeight="1">
      <c r="A55" s="27"/>
      <c r="B55" s="27"/>
      <c r="C55" s="27"/>
      <c r="D55" s="51"/>
      <c r="E55" s="195">
        <f>IF(AND('[1]Turnaj'!$L$10=16,'[1]copy_before_draw_I_st'!$F$1&gt;64),71,IF(AND('[1]Turnaj'!$L$10=8,'[1]copy_before_draw_I_st'!$F$1&gt;64),71,IF(AND('[1]Turnaj'!$L$10=16,'[1]copy_before_draw_I_st'!$F$1&lt;=64),39,IF(AND('[1]Turnaj'!$L$10=8,'[1]copy_before_draw_I_st'!$F$1&lt;=64),39,""))))</f>
        <v>39</v>
      </c>
      <c r="F55" s="47" t="str">
        <f>IF($E$55=39,IF('[1]I.st-výs-KO'!$Q41="","",'[1]I.st-výs-KO'!$Q41),IF($E$55=71,IF('[1]I.st-výs-KO'!$Q73="","",'[1]I.st-výs-KO'!$Q73),""))</f>
        <v>Štricová Niamh</v>
      </c>
      <c r="G55" s="40"/>
      <c r="H55" s="40"/>
    </row>
    <row r="56" spans="1:8" ht="12.75" customHeight="1">
      <c r="A56" s="27">
        <v>27</v>
      </c>
      <c r="B56" s="28">
        <f>IF('[1]copy_I.st_KO_afterdraw'!$C$33="","",'[1]copy_I.st_KO_afterdraw'!$C$33)</f>
        <v>39</v>
      </c>
      <c r="C56" s="36" t="str">
        <f>IF(B56="","bye",CONCATENATE(VLOOKUP(B56,'[1]Rank'!$A$3:$D$300,2),"  (",VLOOKUP(B56,'[1]Rank'!$A$3:$D$300,3),")"))</f>
        <v>Štricová Niamh  (STC Slaný)</v>
      </c>
      <c r="D56" s="51"/>
      <c r="E56" s="195"/>
      <c r="F56" s="52" t="str">
        <f>IF($E$55=39,IF('[1]I.st-výs-KO'!$P41="","",'[1]I.st-výs-KO'!$S41),IF($E$55=71,IF('[1]I.st-výs-KO'!$P73="","",'[1]I.st-výs-KO'!$S73),""))</f>
        <v>3:1 (-7,5,9,8)</v>
      </c>
      <c r="G56" s="40"/>
      <c r="H56" s="40"/>
    </row>
    <row r="57" spans="1:8" ht="12.75" customHeight="1">
      <c r="A57" s="27"/>
      <c r="B57" s="27"/>
      <c r="C57" s="50"/>
      <c r="D57" s="193">
        <v>14</v>
      </c>
      <c r="E57" s="33" t="str">
        <f>IF(OR($B56="",$B58=""),IF($B56="",IF($B58="","",'[1]I.st-výs-KO'!$F15),'[1]I.st-výs-KO'!$C15),'[1]I.st-výs-KO'!$Q15)</f>
        <v>Štricová Niamh</v>
      </c>
      <c r="F57" s="57"/>
      <c r="G57" s="40"/>
      <c r="H57" s="40"/>
    </row>
    <row r="58" spans="1:8" ht="12.75" customHeight="1">
      <c r="A58" s="27">
        <v>28</v>
      </c>
      <c r="B58" s="28">
        <f>IF('[1]copy_I.st_KO_afterdraw'!$C$34="","",'[1]copy_I.st_KO_afterdraw'!$C$34)</f>
        <v>73</v>
      </c>
      <c r="C58" s="29" t="str">
        <f>IF(B58="","bye",CONCATENATE(VLOOKUP(B58,'[1]Rank'!$A$3:$D$300,2),"  (",VLOOKUP(B58,'[1]Rank'!$A$3:$D$300,3),")"))</f>
        <v>Janoušová Petra  (TJ Sokol Plzeň V.)</v>
      </c>
      <c r="D58" s="194"/>
      <c r="E58" s="43" t="str">
        <f>IF($B56="","",IF($B58="","",IF('[1]I.st-výs-KO'!$P15="","",'[1]I.st-výs-KO'!$S15)))</f>
        <v>3:0 (3,6,9)</v>
      </c>
      <c r="F58" s="56"/>
      <c r="G58" s="40"/>
      <c r="H58" s="40"/>
    </row>
    <row r="59" spans="1:8" ht="12.75" customHeight="1">
      <c r="A59" s="27"/>
      <c r="B59" s="27"/>
      <c r="C59" s="27"/>
      <c r="D59" s="51"/>
      <c r="E59" s="27"/>
      <c r="F59" s="190">
        <f>IF(AND('[1]Turnaj'!$L$10=16,'[1]copy_before_draw_I_st'!$F$1&gt;64),100,IF(AND('[1]Turnaj'!$L$10=8,'[1]copy_before_draw_I_st'!$F$1&gt;64),100,IF(AND('[1]Turnaj'!$L$10=8,'[1]copy_before_draw_I_st'!$F$1&lt;=64),52,"")))</f>
        <v>52</v>
      </c>
      <c r="G59" s="40" t="str">
        <f>IF($F$59=52,IF('[1]I.st-výs-KO'!$Q55="","",'[1]I.st-výs-KO'!$Q55),IF($F$59=100,IF('[1]I.st-výs-KO'!$Q103="","",'[1]I.st-výs-KO'!$Q103),""))</f>
        <v>Beranová Sára</v>
      </c>
      <c r="H59" s="40"/>
    </row>
    <row r="60" spans="1:8" ht="12.75" customHeight="1">
      <c r="A60" s="27">
        <v>29</v>
      </c>
      <c r="B60" s="28">
        <f>IF('[1]copy_I.st_KO_afterdraw'!$C$35="","",'[1]copy_I.st_KO_afterdraw'!$C$35)</f>
        <v>33</v>
      </c>
      <c r="C60" s="29" t="str">
        <f>IF(B60="","bye",CONCATENATE(VLOOKUP(B60,'[1]Rank'!$A$3:$D$300,2),"  (",VLOOKUP(B60,'[1]Rank'!$A$3:$D$300,3),")"))</f>
        <v>Synková Kristýna  (TJ Sokol Děhylov)</v>
      </c>
      <c r="D60" s="51"/>
      <c r="E60" s="27"/>
      <c r="F60" s="190"/>
      <c r="G60" s="40" t="str">
        <f>IF($F$59=52,IF('[1]I.st-výs-KO'!$P55="","",'[1]I.st-výs-KO'!$S55),IF($F$59=100,IF('[1]I.st-výs-KO'!$P103="","",'[1]I.st-výs-KO'!$S103),""))</f>
        <v>3:2 (-8,4,-8,6,5)</v>
      </c>
      <c r="H60" s="40"/>
    </row>
    <row r="61" spans="1:8" ht="12.75" customHeight="1">
      <c r="A61" s="27"/>
      <c r="B61" s="27"/>
      <c r="C61" s="50"/>
      <c r="D61" s="193">
        <v>15</v>
      </c>
      <c r="E61" s="33" t="str">
        <f>IF(OR($B60="",$B62=""),IF($B60="",IF($B62="","",'[1]I.st-výs-KO'!$F16),'[1]I.st-výs-KO'!$C16),'[1]I.st-výs-KO'!$Q16)</f>
        <v>Synková Kristýna</v>
      </c>
      <c r="F61" s="56"/>
      <c r="G61" s="40"/>
      <c r="H61" s="40"/>
    </row>
    <row r="62" spans="1:8" ht="12.75" customHeight="1">
      <c r="A62" s="27">
        <v>30</v>
      </c>
      <c r="B62" s="28">
        <f>IF('[1]copy_I.st_KO_afterdraw'!$C$36="","",'[1]copy_I.st_KO_afterdraw'!$C$36)</f>
        <v>64</v>
      </c>
      <c r="C62" s="36" t="str">
        <f>IF(B62="","bye",CONCATENATE(VLOOKUP(B62,'[1]Rank'!$A$3:$D$300,2),"  (",VLOOKUP(B62,'[1]Rank'!$A$3:$D$300,3),")"))</f>
        <v>Véghová Viola  (SK Přerov)</v>
      </c>
      <c r="D62" s="194"/>
      <c r="E62" s="37" t="str">
        <f>IF($B60="","",IF($B62="","",IF('[1]I.st-výs-KO'!$P16="","",'[1]I.st-výs-KO'!$S16)))</f>
        <v>3:1 (-8,3,8,8)</v>
      </c>
      <c r="F62" s="56"/>
      <c r="G62" s="40"/>
      <c r="H62" s="40"/>
    </row>
    <row r="63" spans="1:8" ht="12.75" customHeight="1">
      <c r="A63" s="27"/>
      <c r="B63" s="27"/>
      <c r="C63" s="27"/>
      <c r="D63" s="51"/>
      <c r="E63" s="195">
        <f>IF(AND('[1]Turnaj'!$L$10=16,'[1]copy_before_draw_I_st'!$F$1&gt;64),72,IF(AND('[1]Turnaj'!$L$10=8,'[1]copy_before_draw_I_st'!$F$1&gt;64),72,IF(AND('[1]Turnaj'!$L$10=16,'[1]copy_before_draw_I_st'!$F$1&lt;=64),40,IF(AND('[1]Turnaj'!$L$10=8,'[1]copy_before_draw_I_st'!$F$1&lt;=64),40,""))))</f>
        <v>40</v>
      </c>
      <c r="F63" s="58" t="str">
        <f>IF($E$63=40,IF('[1]I.st-výs-KO'!$Q42="","",'[1]I.st-výs-KO'!$Q42),IF($E$63=72,IF('[1]I.st-výs-KO'!$Q74="","",'[1]I.st-výs-KO'!$Q74),""))</f>
        <v>Beranová Sára</v>
      </c>
      <c r="G63" s="40"/>
      <c r="H63" s="40"/>
    </row>
    <row r="64" spans="1:8" ht="12.75" customHeight="1">
      <c r="A64" s="27">
        <v>31</v>
      </c>
      <c r="B64" s="28">
        <f>IF('[1]copy_I.st_KO_afterdraw'!$C$37="","",'[1]copy_I.st_KO_afterdraw'!$C$37)</f>
      </c>
      <c r="C64" s="36" t="str">
        <f>IF(B64="","bye",CONCATENATE(VLOOKUP(B64,'[1]Rank'!$A$3:$D$300,2),"  (",VLOOKUP(B64,'[1]Rank'!$A$3:$D$300,3),")"))</f>
        <v>bye</v>
      </c>
      <c r="D64" s="51"/>
      <c r="E64" s="195"/>
      <c r="F64" s="52" t="str">
        <f>IF($E$63=40,IF('[1]I.st-výs-KO'!$P42="","",'[1]I.st-výs-KO'!$S42),IF($E$63=72,IF('[1]I.st-výs-KO'!$P74="","",'[1]I.st-výs-KO'!$S74),""))</f>
        <v>3:1 (10,-4,9,6)</v>
      </c>
      <c r="G64" s="40"/>
      <c r="H64" s="40"/>
    </row>
    <row r="65" spans="1:8" ht="12.75" customHeight="1">
      <c r="A65" s="27"/>
      <c r="B65" s="27"/>
      <c r="C65" s="50"/>
      <c r="D65" s="193">
        <v>16</v>
      </c>
      <c r="E65" s="33" t="str">
        <f>IF(OR($B64="",$B66=""),IF($B64="",IF($B66="","",'[1]I.st-výs-KO'!$F17),'[1]I.st-výs-KO'!$C17),'[1]I.st-výs-KO'!$Q17)</f>
        <v>Beranová Sára</v>
      </c>
      <c r="F65" s="57"/>
      <c r="G65" s="40"/>
      <c r="H65" s="40"/>
    </row>
    <row r="66" spans="1:8" ht="12.75" customHeight="1">
      <c r="A66" s="27">
        <v>32</v>
      </c>
      <c r="B66" s="28">
        <f>IF('[1]copy_I.st_KO_afterdraw'!$C$38="","",'[1]copy_I.st_KO_afterdraw'!$C$38)</f>
        <v>15</v>
      </c>
      <c r="C66" s="29" t="str">
        <f>IF(B66="","bye",CONCATENATE(VLOOKUP(B66,'[1]Rank'!$A$3:$D$300,2),"  (",VLOOKUP(B66,'[1]Rank'!$A$3:$D$300,3),")"))</f>
        <v>Beranová Sára  (SKST Vlašim)</v>
      </c>
      <c r="D66" s="194"/>
      <c r="E66" s="43">
        <f>IF($B64="","",IF($B66="","",IF('[1]I.st-výs-KO'!$P17="","",'[1]I.st-výs-KO'!$S17)))</f>
      </c>
      <c r="F66" s="56"/>
      <c r="G66" s="40"/>
      <c r="H66" s="40"/>
    </row>
    <row r="67" spans="1:8" ht="25.5">
      <c r="A67" s="196" t="str">
        <f>$A$1</f>
        <v>Bodovací turnaj mládeže ČAST</v>
      </c>
      <c r="B67" s="196"/>
      <c r="C67" s="196"/>
      <c r="D67" s="196"/>
      <c r="E67" s="196"/>
      <c r="F67" s="196"/>
      <c r="G67" s="196"/>
      <c r="H67" s="196"/>
    </row>
    <row r="68" spans="1:8" ht="18.75">
      <c r="A68" s="192" t="str">
        <f>CONCATENATE("Dvouhra"," ",'[1]Turnaj'!$F$6," - ","I. stupeň")</f>
        <v>Dvouhra dorostenky - I. stupeň</v>
      </c>
      <c r="B68" s="192"/>
      <c r="C68" s="192"/>
      <c r="D68" s="192"/>
      <c r="E68" s="192"/>
      <c r="F68" s="192"/>
      <c r="G68" s="192"/>
      <c r="H68" s="192"/>
    </row>
    <row r="69" spans="3:8" ht="15.75">
      <c r="C69" s="22"/>
      <c r="D69" s="24"/>
      <c r="F69" s="61"/>
      <c r="H69" s="61" t="str">
        <f>$G$3</f>
        <v>Hustopeče  21.11.2015</v>
      </c>
    </row>
    <row r="70" spans="1:8" ht="15.75">
      <c r="A70" s="27">
        <v>33</v>
      </c>
      <c r="B70" s="28">
        <f>IF('[1]copy_I.st_KO_afterdraw'!$C$39="","",'[1]copy_I.st_KO_afterdraw'!$C$39)</f>
        <v>16</v>
      </c>
      <c r="C70" s="29" t="str">
        <f>IF(B70="","bye",CONCATENATE(VLOOKUP(B70,'[1]Rank'!$A$3:$D$300,2),"  (",VLOOKUP(B70,'[1]Rank'!$A$3:$D$300,3),")"))</f>
        <v>Zelingrová Kamila  (SKST Vlašim)</v>
      </c>
      <c r="E70" s="22"/>
      <c r="F70" s="30"/>
      <c r="H70" s="31" t="s">
        <v>7</v>
      </c>
    </row>
    <row r="71" spans="1:8" ht="12.75">
      <c r="A71" s="27"/>
      <c r="C71" s="22"/>
      <c r="D71" s="193">
        <v>17</v>
      </c>
      <c r="E71" s="33" t="str">
        <f>IF(OR($B70="",$B72=""),IF($B70="",IF($B72="","",'[1]I.st-výs-KO'!$F18),'[1]I.st-výs-KO'!$C18),'[1]I.st-výs-KO'!$Q18)</f>
        <v>Zelingrová Kamila</v>
      </c>
      <c r="F71" s="34"/>
      <c r="H71" s="30"/>
    </row>
    <row r="72" spans="1:7" ht="12.75">
      <c r="A72" s="27">
        <v>34</v>
      </c>
      <c r="B72" s="28">
        <f>IF('[1]copy_I.st_KO_afterdraw'!$C$40="","",'[1]copy_I.st_KO_afterdraw'!$C$40)</f>
      </c>
      <c r="C72" s="36" t="str">
        <f>IF(B72="","bye",CONCATENATE(VLOOKUP(B72,'[1]Rank'!$A$3:$D$300,2),"  (",VLOOKUP(B72,'[1]Rank'!$A$3:$D$300,3),")"))</f>
        <v>bye</v>
      </c>
      <c r="D72" s="194"/>
      <c r="E72" s="43">
        <f>IF($B70="","",IF($B72="","",IF('[1]I.st-výs-KO'!$P18="","",'[1]I.st-výs-KO'!$S18)))</f>
      </c>
      <c r="F72" s="53"/>
      <c r="G72" s="41"/>
    </row>
    <row r="73" spans="1:7" ht="12.75">
      <c r="A73" s="27"/>
      <c r="C73" s="22"/>
      <c r="D73" s="39"/>
      <c r="E73" s="195">
        <f>IF(AND('[1]Turnaj'!$L$10=16,'[1]copy_before_draw_I_st'!$F$1&gt;64),73,IF(AND('[1]Turnaj'!$L$10=8,'[1]copy_before_draw_I_st'!$F$1&gt;64),73,IF(AND('[1]Turnaj'!$L$10=16,'[1]copy_before_draw_I_st'!$F$1&lt;=64),41,IF(AND('[1]Turnaj'!$L$10=8,'[1]copy_before_draw_I_st'!$F$1&lt;=64),41,""))))</f>
        <v>41</v>
      </c>
      <c r="F73" s="47" t="str">
        <f>IF($E$73=41,IF('[1]I.st-výs-KO'!$Q43="","",'[1]I.st-výs-KO'!$Q43),IF($E$73=73,IF('[1]I.st-výs-KO'!$Q75="","",'[1]I.st-výs-KO'!$Q75),""))</f>
        <v>Jirásková Tereza</v>
      </c>
      <c r="G73" s="41"/>
    </row>
    <row r="74" spans="1:7" ht="12.75">
      <c r="A74" s="27">
        <v>35</v>
      </c>
      <c r="B74" s="28">
        <f>IF('[1]copy_I.st_KO_afterdraw'!$C$41="","",'[1]copy_I.st_KO_afterdraw'!$C$41)</f>
        <v>38</v>
      </c>
      <c r="C74" s="36" t="str">
        <f>IF(B74="","bye",CONCATENATE(VLOOKUP(B74,'[1]Rank'!$A$3:$D$300,2),"  (",VLOOKUP(B74,'[1]Rank'!$A$3:$D$300,3),")"))</f>
        <v>Janoušová Pavla  (TJ Sokol Plzeň V.)</v>
      </c>
      <c r="D74" s="39"/>
      <c r="E74" s="195"/>
      <c r="F74" s="52" t="str">
        <f>IF($E$73=41,IF('[1]I.st-výs-KO'!$P43="","",'[1]I.st-výs-KO'!$S43),IF($E$73=73,IF('[1]I.st-výs-KO'!$P75="","",'[1]I.st-výs-KO'!$S75),""))</f>
        <v>3:1 (8,7,-11,7)</v>
      </c>
      <c r="G74" s="40"/>
    </row>
    <row r="75" spans="1:7" ht="12.75">
      <c r="A75" s="27"/>
      <c r="C75" s="22"/>
      <c r="D75" s="193">
        <v>18</v>
      </c>
      <c r="E75" s="33" t="str">
        <f>IF(OR($B74="",$B76=""),IF($B74="",IF($B76="","",'[1]I.st-výs-KO'!$F19),'[1]I.st-výs-KO'!$C19),'[1]I.st-výs-KO'!$Q19)</f>
        <v>Jirásková Tereza</v>
      </c>
      <c r="F75" s="62"/>
      <c r="G75" s="40"/>
    </row>
    <row r="76" spans="1:7" ht="12.75">
      <c r="A76" s="27">
        <v>36</v>
      </c>
      <c r="B76" s="28">
        <f>IF('[1]copy_I.st_KO_afterdraw'!$C$42="","",'[1]copy_I.st_KO_afterdraw'!$C$42)</f>
        <v>32</v>
      </c>
      <c r="C76" s="29" t="str">
        <f>IF(B76="","bye",CONCATENATE(VLOOKUP(B76,'[1]Rank'!$A$3:$D$300,2),"  (",VLOOKUP(B76,'[1]Rank'!$A$3:$D$300,3),")"))</f>
        <v>Jirásková Tereza  (TJ Sokol PP Hradec Králové 2)</v>
      </c>
      <c r="D76" s="194"/>
      <c r="E76" s="43" t="str">
        <f>IF($B74="","",IF($B76="","",IF('[1]I.st-výs-KO'!$P19="","",'[1]I.st-výs-KO'!$S19)))</f>
        <v>wo</v>
      </c>
      <c r="F76" s="40"/>
      <c r="G76" s="40"/>
    </row>
    <row r="77" spans="1:8" ht="12.75">
      <c r="A77" s="27"/>
      <c r="C77" s="22"/>
      <c r="D77" s="39"/>
      <c r="E77" s="44"/>
      <c r="F77" s="190">
        <f>IF(AND('[1]Turnaj'!$L$10=16,'[1]copy_before_draw_I_st'!$F$1&gt;64),101,IF(AND('[1]Turnaj'!$L$10=8,'[1]copy_before_draw_I_st'!$F$1&gt;64),101,IF(AND('[1]Turnaj'!$L$10=8,'[1]copy_before_draw_I_st'!$F$1&lt;=64),53,"")))</f>
        <v>53</v>
      </c>
      <c r="G77" s="40" t="str">
        <f>IF($F$77=53,IF('[1]I.st-výs-KO'!$Q56="","",'[1]I.st-výs-KO'!$Q56),IF($F$77=101,IF('[1]I.st-výs-KO'!$Q104="","",'[1]I.st-výs-KO'!$Q104),""))</f>
        <v>Jirásková Tereza</v>
      </c>
      <c r="H77" s="46"/>
    </row>
    <row r="78" spans="1:8" ht="12.75">
      <c r="A78" s="27">
        <v>37</v>
      </c>
      <c r="B78" s="28">
        <f>IF('[1]copy_I.st_KO_afterdraw'!$C$43="","",'[1]copy_I.st_KO_afterdraw'!$C$43)</f>
        <v>44</v>
      </c>
      <c r="C78" s="29" t="str">
        <f>IF(B78="","bye",CONCATENATE(VLOOKUP(B78,'[1]Rank'!$A$3:$D$300,2),"  (",VLOOKUP(B78,'[1]Rank'!$A$3:$D$300,3),")"))</f>
        <v>Cacková Tereza  (TJ Lanškroun)</v>
      </c>
      <c r="D78" s="39"/>
      <c r="E78" s="44"/>
      <c r="F78" s="190"/>
      <c r="G78" s="40" t="str">
        <f>IF($F$77=53,IF('[1]I.st-výs-KO'!$P56="","",'[1]I.st-výs-KO'!$S56),IF($F$77=101,IF('[1]I.st-výs-KO'!$P104="","",'[1]I.st-výs-KO'!$S104),""))</f>
        <v>3:1 (1,4,-10,9)</v>
      </c>
      <c r="H78" s="46"/>
    </row>
    <row r="79" spans="1:8" ht="12.75">
      <c r="A79" s="27"/>
      <c r="C79" s="22"/>
      <c r="D79" s="193">
        <v>19</v>
      </c>
      <c r="E79" s="33" t="str">
        <f>IF(OR($B78="",$B80=""),IF($B78="",IF($B80="","",'[1]I.st-výs-KO'!$F20),'[1]I.st-výs-KO'!$C20),'[1]I.st-výs-KO'!$Q20)</f>
        <v>Cacková Tereza</v>
      </c>
      <c r="F79" s="40"/>
      <c r="G79" s="40"/>
      <c r="H79" s="46"/>
    </row>
    <row r="80" spans="1:8" ht="12.75">
      <c r="A80" s="27">
        <v>38</v>
      </c>
      <c r="B80" s="28">
        <f>IF('[1]copy_I.st_KO_afterdraw'!$C$44="","",'[1]copy_I.st_KO_afterdraw'!$C$44)</f>
      </c>
      <c r="C80" s="36" t="str">
        <f>IF(B80="","bye",CONCATENATE(VLOOKUP(B80,'[1]Rank'!$A$3:$D$300,2),"  (",VLOOKUP(B80,'[1]Rank'!$A$3:$D$300,3),")"))</f>
        <v>bye</v>
      </c>
      <c r="D80" s="194"/>
      <c r="E80" s="37">
        <f>IF($B78="","",IF($B80="","",IF('[1]I.st-výs-KO'!$P20="","",'[1]I.st-výs-KO'!$S20)))</f>
      </c>
      <c r="F80" s="62"/>
      <c r="G80" s="40"/>
      <c r="H80" s="46"/>
    </row>
    <row r="81" spans="1:8" ht="12.75">
      <c r="A81" s="27"/>
      <c r="C81" s="22"/>
      <c r="D81" s="39"/>
      <c r="E81" s="195">
        <f>IF(AND('[1]Turnaj'!$L$10=16,'[1]copy_before_draw_I_st'!$F$1&gt;64),74,IF(AND('[1]Turnaj'!$L$10=8,'[1]copy_before_draw_I_st'!$F$1&gt;64),74,IF(AND('[1]Turnaj'!$L$10=16,'[1]copy_before_draw_I_st'!$F$1&lt;=64),42,IF(AND('[1]Turnaj'!$L$10=8,'[1]copy_before_draw_I_st'!$F$1&lt;=64),42,""))))</f>
        <v>42</v>
      </c>
      <c r="F81" s="58" t="str">
        <f>IF($E$81=42,IF('[1]I.st-výs-KO'!$Q44="","",'[1]I.st-výs-KO'!$Q44),IF($E$81=74,IF('[1]I.st-výs-KO'!$Q76="","",'[1]I.st-výs-KO'!$Q76),""))</f>
        <v>Stránská Anna</v>
      </c>
      <c r="G81" s="40"/>
      <c r="H81" s="46"/>
    </row>
    <row r="82" spans="1:8" ht="12.75">
      <c r="A82" s="27">
        <v>39</v>
      </c>
      <c r="B82" s="28">
        <f>IF('[1]copy_I.st_KO_afterdraw'!$C$45="","",'[1]copy_I.st_KO_afterdraw'!$C$45)</f>
      </c>
      <c r="C82" s="36" t="str">
        <f>IF(B82="","bye",CONCATENATE(VLOOKUP(B82,'[1]Rank'!$A$3:$D$300,2),"  (",VLOOKUP(B82,'[1]Rank'!$A$3:$D$300,3),")"))</f>
        <v>bye</v>
      </c>
      <c r="D82" s="45"/>
      <c r="E82" s="195"/>
      <c r="F82" s="63" t="str">
        <f>IF($E$81=42,IF('[1]I.st-výs-KO'!$P44="","",'[1]I.st-výs-KO'!$S44),IF($E$81=74,IF('[1]I.st-výs-KO'!$P76="","",'[1]I.st-výs-KO'!$S76),""))</f>
        <v>3:1 (-9,6,5,8)</v>
      </c>
      <c r="G82" s="40"/>
      <c r="H82" s="46"/>
    </row>
    <row r="83" spans="1:8" ht="12.75">
      <c r="A83" s="27"/>
      <c r="C83" s="22"/>
      <c r="D83" s="193">
        <v>20</v>
      </c>
      <c r="E83" s="33" t="str">
        <f>IF(OR($B82="",$B84=""),IF($B82="",IF($B84="","",'[1]I.st-výs-KO'!$F21),'[1]I.st-výs-KO'!$C21),'[1]I.st-výs-KO'!$Q21)</f>
        <v>Stránská Anna</v>
      </c>
      <c r="F83" s="64"/>
      <c r="G83" s="40"/>
      <c r="H83" s="46"/>
    </row>
    <row r="84" spans="1:8" ht="12.75">
      <c r="A84" s="27">
        <v>40</v>
      </c>
      <c r="B84" s="28">
        <f>IF('[1]copy_I.st_KO_afterdraw'!$C$46="","",'[1]copy_I.st_KO_afterdraw'!$C$46)</f>
        <v>22</v>
      </c>
      <c r="C84" s="29" t="str">
        <f>IF(B84="","bye",CONCATENATE(VLOOKUP(B84,'[1]Rank'!$A$3:$D$300,2),"  (",VLOOKUP(B84,'[1]Rank'!$A$3:$D$300,3),")"))</f>
        <v>Stránská Anna  (Viktoria Radim)</v>
      </c>
      <c r="D84" s="194"/>
      <c r="E84" s="43">
        <f>IF($B82="","",IF($B84="","",IF('[1]I.st-výs-KO'!$P21="","",'[1]I.st-výs-KO'!$S21)))</f>
      </c>
      <c r="F84" s="40"/>
      <c r="G84" s="40"/>
      <c r="H84" s="46"/>
    </row>
    <row r="85" spans="1:8" ht="12.75">
      <c r="A85" s="27"/>
      <c r="C85" s="22"/>
      <c r="D85" s="39"/>
      <c r="F85" s="47"/>
      <c r="G85" s="190">
        <f>IF(AND('[1]Turnaj'!$L$10=8,'[1]copy_before_draw_I_st'!$F$1&gt;64),115,"")</f>
      </c>
      <c r="H85" s="48">
        <f>IF($G$85=115,IF('[1]I.st-výs-KO'!$Q119="","",'[1]I.st-výs-KO'!$Q119),"")</f>
      </c>
    </row>
    <row r="86" spans="1:8" ht="12.75">
      <c r="A86" s="27">
        <v>41</v>
      </c>
      <c r="B86" s="28">
        <f>IF('[1]copy_I.st_KO_afterdraw'!$C$47="","",'[1]copy_I.st_KO_afterdraw'!$C$47)</f>
        <v>27</v>
      </c>
      <c r="C86" s="29" t="str">
        <f>IF(B86="","bye",CONCATENATE(VLOOKUP(B86,'[1]Rank'!$A$3:$D$300,2),"  (",VLOOKUP(B86,'[1]Rank'!$A$3:$D$300,3),")"))</f>
        <v>Pytlíková Tereza  (SKST Vlašim)</v>
      </c>
      <c r="D86" s="49"/>
      <c r="E86" s="44"/>
      <c r="F86" s="46"/>
      <c r="G86" s="190"/>
      <c r="H86" s="40">
        <f>IF($G$85=115,IF('[1]I.st-výs-KO'!$P119="","",'[1]I.st-výs-KO'!$S119),"")</f>
      </c>
    </row>
    <row r="87" spans="1:8" ht="12.75">
      <c r="A87" s="27"/>
      <c r="C87" s="50"/>
      <c r="D87" s="193">
        <v>21</v>
      </c>
      <c r="E87" s="33" t="str">
        <f>IF(OR($B86="",$B88=""),IF($B86="",IF($B88="","",'[1]I.st-výs-KO'!$F22),'[1]I.st-výs-KO'!$C22),'[1]I.st-výs-KO'!$Q22)</f>
        <v>Pytlíková Tereza</v>
      </c>
      <c r="F87" s="38"/>
      <c r="G87" s="40"/>
      <c r="H87" s="46"/>
    </row>
    <row r="88" spans="1:8" ht="12.75">
      <c r="A88" s="27">
        <v>42</v>
      </c>
      <c r="B88" s="28">
        <f>IF('[1]copy_I.st_KO_afterdraw'!$C$48="","",'[1]copy_I.st_KO_afterdraw'!$C$48)</f>
      </c>
      <c r="C88" s="36" t="str">
        <f>IF(B88="","bye",CONCATENATE(VLOOKUP(B88,'[1]Rank'!$A$3:$D$300,2),"  (",VLOOKUP(B88,'[1]Rank'!$A$3:$D$300,3),")"))</f>
        <v>bye</v>
      </c>
      <c r="D88" s="194"/>
      <c r="E88" s="37">
        <f>IF($B86="","",IF($B88="","",IF('[1]I.st-výs-KO'!$P22="","",'[1]I.st-výs-KO'!$S22)))</f>
      </c>
      <c r="F88" s="38"/>
      <c r="G88" s="40"/>
      <c r="H88" s="46"/>
    </row>
    <row r="89" spans="1:8" ht="12.75">
      <c r="A89" s="27"/>
      <c r="C89" s="27"/>
      <c r="D89" s="51"/>
      <c r="E89" s="195">
        <f>IF(AND('[1]Turnaj'!$L$10=16,'[1]copy_before_draw_I_st'!$F$1&gt;64),75,IF(AND('[1]Turnaj'!$L$10=8,'[1]copy_before_draw_I_st'!$F$1&gt;64),75,IF(AND('[1]Turnaj'!$L$10=16,'[1]copy_before_draw_I_st'!$F$1&lt;=64),43,IF(AND('[1]Turnaj'!$L$10=8,'[1]copy_before_draw_I_st'!$F$1&lt;=64),43,""))))</f>
        <v>43</v>
      </c>
      <c r="F89" s="47" t="str">
        <f>IF($E$89=43,IF('[1]I.st-výs-KO'!$Q45="","",'[1]I.st-výs-KO'!$Q45),IF($E$89=75,IF('[1]I.st-výs-KO'!$Q77="","",'[1]I.st-výs-KO'!$Q77),""))</f>
        <v>Pytlíková Tereza</v>
      </c>
      <c r="G89" s="40"/>
      <c r="H89" s="46"/>
    </row>
    <row r="90" spans="1:8" ht="12.75">
      <c r="A90" s="27">
        <v>43</v>
      </c>
      <c r="B90" s="28">
        <f>IF('[1]copy_I.st_KO_afterdraw'!$C$49="","",'[1]copy_I.st_KO_afterdraw'!$C$49)</f>
        <v>52</v>
      </c>
      <c r="C90" s="36" t="str">
        <f>IF(B90="","bye",CONCATENATE(VLOOKUP(B90,'[1]Rank'!$A$3:$D$300,2),"  (",VLOOKUP(B90,'[1]Rank'!$A$3:$D$300,3),")"))</f>
        <v>Matoušová Aneta  (TJ Hrádek)</v>
      </c>
      <c r="D90" s="51"/>
      <c r="E90" s="195"/>
      <c r="F90" s="52" t="str">
        <f>IF($E$89=43,IF('[1]I.st-výs-KO'!$P45="","",'[1]I.st-výs-KO'!$S45),IF($E$89=75,IF('[1]I.st-výs-KO'!$P77="","",'[1]I.st-výs-KO'!$S77),""))</f>
        <v>3:1 (3,-6,7,10)</v>
      </c>
      <c r="G90" s="40"/>
      <c r="H90" s="46"/>
    </row>
    <row r="91" spans="1:8" ht="12.75">
      <c r="A91" s="27"/>
      <c r="C91" s="50"/>
      <c r="D91" s="193">
        <v>22</v>
      </c>
      <c r="E91" s="33" t="str">
        <f>IF(OR($B90="",$B92=""),IF($B90="",IF($B92="","",'[1]I.st-výs-KO'!$F23),'[1]I.st-výs-KO'!#REF!),'[1]I.st-výs-KO'!$Q23)</f>
        <v>Matoušová Aneta</v>
      </c>
      <c r="F91" s="53"/>
      <c r="G91" s="40"/>
      <c r="H91" s="46"/>
    </row>
    <row r="92" spans="1:8" ht="12.75">
      <c r="A92" s="27">
        <v>44</v>
      </c>
      <c r="B92" s="28">
        <f>IF('[1]copy_I.st_KO_afterdraw'!$C$50="","",'[1]copy_I.st_KO_afterdraw'!$C$50)</f>
        <v>50</v>
      </c>
      <c r="C92" s="29" t="str">
        <f>IF(B92="","bye",CONCATENATE(VLOOKUP(B92,'[1]Rank'!$A$3:$D$300,2),"  (",VLOOKUP(B92,'[1]Rank'!$A$3:$D$300,3),")"))</f>
        <v>Hejzlarová Lucie  (SK Dobré)</v>
      </c>
      <c r="D92" s="194"/>
      <c r="E92" s="43" t="str">
        <f>IF($B90="","",IF($B92="","",IF('[1]I.st-výs-KO'!$P23="","",'[1]I.st-výs-KO'!$S23)))</f>
        <v>3:0 (8,7,6)</v>
      </c>
      <c r="F92" s="38"/>
      <c r="G92" s="40"/>
      <c r="H92" s="46"/>
    </row>
    <row r="93" spans="1:8" ht="12.75">
      <c r="A93" s="27"/>
      <c r="C93" s="27"/>
      <c r="D93" s="51"/>
      <c r="E93" s="54"/>
      <c r="F93" s="190">
        <f>IF(AND('[1]Turnaj'!$L$10=16,'[1]copy_before_draw_I_st'!$F$1&gt;64),102,IF(AND('[1]Turnaj'!$L$10=8,'[1]copy_before_draw_I_st'!$F$1&gt;64),102,IF(AND('[1]Turnaj'!$L$10=8,'[1]copy_before_draw_I_st'!$F$1&lt;=64),54,"")))</f>
        <v>54</v>
      </c>
      <c r="G93" s="40" t="str">
        <f>IF($F$93=54,IF('[1]I.st-výs-KO'!$Q57="","",'[1]I.st-výs-KO'!$Q57),IF($F$93=102,IF('[1]I.st-výs-KO'!$Q105="","",'[1]I.st-výs-KO'!$Q105),""))</f>
        <v>Rusnáková Markéta</v>
      </c>
      <c r="H93" s="46"/>
    </row>
    <row r="94" spans="1:8" ht="12.75">
      <c r="A94" s="27">
        <v>45</v>
      </c>
      <c r="B94" s="28">
        <f>IF('[1]copy_I.st_KO_afterdraw'!$C$51="","",'[1]copy_I.st_KO_afterdraw'!$C$51)</f>
        <v>59</v>
      </c>
      <c r="C94" s="29" t="str">
        <f>IF(B94="","bye",CONCATENATE(VLOOKUP(B94,'[1]Rank'!$A$3:$D$300,2),"  (",VLOOKUP(B94,'[1]Rank'!$A$3:$D$300,3),")"))</f>
        <v>Cimrmanová Eliška  (TSM Kladno)</v>
      </c>
      <c r="D94" s="49"/>
      <c r="E94" s="22"/>
      <c r="F94" s="190"/>
      <c r="G94" s="40" t="str">
        <f>IF($F$93=54,IF('[1]I.st-výs-KO'!$P57="","",'[1]I.st-výs-KO'!$S57),IF($F$93=102,IF('[1]I.st-výs-KO'!$P105="","",'[1]I.st-výs-KO'!$S105),""))</f>
        <v>3:2 (-5,7,-9,12,7)</v>
      </c>
      <c r="H94" s="46"/>
    </row>
    <row r="95" spans="1:8" ht="12.75">
      <c r="A95" s="27"/>
      <c r="C95" s="55"/>
      <c r="D95" s="193">
        <v>23</v>
      </c>
      <c r="E95" s="33" t="str">
        <f>IF(OR($B94="",$B96=""),IF($B94="",IF($B96="","",'[1]I.st-výs-KO'!$F24),'[1]I.st-výs-KO'!$C24),'[1]I.st-výs-KO'!$Q24)</f>
        <v>Cimrmanová Eliška</v>
      </c>
      <c r="F95" s="56"/>
      <c r="G95" s="40"/>
      <c r="H95" s="46"/>
    </row>
    <row r="96" spans="1:8" ht="12.75">
      <c r="A96" s="27">
        <v>46</v>
      </c>
      <c r="B96" s="28">
        <f>IF('[1]copy_I.st_KO_afterdraw'!$C$52="","",'[1]copy_I.st_KO_afterdraw'!$C$52)</f>
        <v>84</v>
      </c>
      <c r="C96" s="36" t="str">
        <f>IF(B96="","bye",CONCATENATE(VLOOKUP(B96,'[1]Rank'!$A$3:$D$300,2),"  (",VLOOKUP(B96,'[1]Rank'!$A$3:$D$300,3),")"))</f>
        <v>Nykodýmová Natálie  (TJ Jiskra Nový Bor)</v>
      </c>
      <c r="D96" s="194"/>
      <c r="E96" s="43" t="str">
        <f>IF($B94="","",IF($B96="","",IF('[1]I.st-výs-KO'!$P24="","",'[1]I.st-výs-KO'!$S24)))</f>
        <v>wo</v>
      </c>
      <c r="F96" s="57"/>
      <c r="G96" s="40"/>
      <c r="H96" s="46"/>
    </row>
    <row r="97" spans="1:8" ht="12.75">
      <c r="A97" s="27"/>
      <c r="C97" s="27"/>
      <c r="D97" s="49"/>
      <c r="E97" s="195">
        <f>IF(AND('[1]Turnaj'!$L$10=16,'[1]copy_before_draw_I_st'!$F$1&gt;64),76,IF(AND('[1]Turnaj'!$L$10=8,'[1]copy_before_draw_I_st'!$F$1&gt;64),76,IF(AND('[1]Turnaj'!$L$10=16,'[1]copy_before_draw_I_st'!$F$1&lt;=64),44,IF(AND('[1]Turnaj'!$L$10=8,'[1]copy_before_draw_I_st'!$F$1&lt;=64),44,""))))</f>
        <v>44</v>
      </c>
      <c r="F97" s="58" t="str">
        <f>IF($E$97=44,IF('[1]I.st-výs-KO'!$Q46="","",'[1]I.st-výs-KO'!$Q46),IF($E$97=76,IF('[1]I.st-výs-KO'!$Q78="","",'[1]I.st-výs-KO'!$Q78),""))</f>
        <v>Rusnáková Markéta</v>
      </c>
      <c r="G97" s="40"/>
      <c r="H97" s="46"/>
    </row>
    <row r="98" spans="1:8" ht="12.75">
      <c r="A98" s="27">
        <v>47</v>
      </c>
      <c r="B98" s="28">
        <f>IF('[1]copy_I.st_KO_afterdraw'!$C$53="","",'[1]copy_I.st_KO_afterdraw'!$C$53)</f>
      </c>
      <c r="C98" s="36" t="str">
        <f>IF(B98="","bye",CONCATENATE(VLOOKUP(B98,'[1]Rank'!$A$3:$D$300,2),"  (",VLOOKUP(B98,'[1]Rank'!$A$3:$D$300,3),")"))</f>
        <v>bye</v>
      </c>
      <c r="D98" s="49"/>
      <c r="E98" s="195"/>
      <c r="F98" s="52" t="str">
        <f>IF($E$97=44,IF('[1]I.st-výs-KO'!$P46="","",'[1]I.st-výs-KO'!$S46),IF($E$97=76,IF('[1]I.st-výs-KO'!$P78="","",'[1]I.st-výs-KO'!$S78),""))</f>
        <v>3:0 (9,6,3)</v>
      </c>
      <c r="G98" s="40"/>
      <c r="H98" s="46"/>
    </row>
    <row r="99" spans="1:8" ht="12.75">
      <c r="A99" s="27"/>
      <c r="C99" s="50"/>
      <c r="D99" s="193">
        <v>24</v>
      </c>
      <c r="E99" s="33" t="str">
        <f>IF(OR($B98="",$B100=""),IF($B98="",IF($B100="","",'[1]I.st-výs-KO'!$F25),'[1]I.st-výs-KO'!$C25),'[1]I.st-výs-KO'!$Q25)</f>
        <v>Rusnáková Markéta</v>
      </c>
      <c r="F99" s="57"/>
      <c r="G99" s="40"/>
      <c r="H99" s="46"/>
    </row>
    <row r="100" spans="1:8" ht="12.75">
      <c r="A100" s="27">
        <v>48</v>
      </c>
      <c r="B100" s="28">
        <f>IF('[1]copy_I.st_KO_afterdraw'!$C$54="","",'[1]copy_I.st_KO_afterdraw'!$C$54)</f>
        <v>19</v>
      </c>
      <c r="C100" s="29" t="str">
        <f>IF(B100="","bye",CONCATENATE(VLOOKUP(B100,'[1]Rank'!$A$3:$D$300,2),"  (",VLOOKUP(B100,'[1]Rank'!$A$3:$D$300,3),")"))</f>
        <v>Rusnáková Markéta  (SK Frýdlant nad Ostravicí)</v>
      </c>
      <c r="D100" s="194"/>
      <c r="E100" s="43">
        <f>IF($B98="","",IF($B100="","",IF('[1]I.st-výs-KO'!$P25="","",'[1]I.st-výs-KO'!$S25)))</f>
      </c>
      <c r="F100" s="56"/>
      <c r="G100" s="40"/>
      <c r="H100" s="46"/>
    </row>
    <row r="101" spans="1:8" ht="12.75">
      <c r="A101" s="27"/>
      <c r="B101" s="27"/>
      <c r="D101" s="20"/>
      <c r="F101" s="56"/>
      <c r="G101" s="40"/>
      <c r="H101" s="46"/>
    </row>
    <row r="102" spans="1:8" ht="12.75">
      <c r="A102" s="27">
        <v>49</v>
      </c>
      <c r="B102" s="28">
        <f>IF('[1]copy_I.st_KO_afterdraw'!$C$55="","",'[1]copy_I.st_KO_afterdraw'!$C$55)</f>
        <v>18</v>
      </c>
      <c r="C102" s="29" t="str">
        <f>IF(B102="","bye",CONCATENATE(VLOOKUP(B102,'[1]Rank'!$A$3:$D$300,2),"  (",VLOOKUP(B102,'[1]Rank'!$A$3:$D$300,3),")"))</f>
        <v>Polívková Barbora  (SKST Vlašim)</v>
      </c>
      <c r="D102" s="39"/>
      <c r="F102" s="46"/>
      <c r="G102" s="40"/>
      <c r="H102" s="46"/>
    </row>
    <row r="103" spans="1:8" ht="12.75">
      <c r="A103" s="27"/>
      <c r="B103" s="27"/>
      <c r="C103" s="55"/>
      <c r="D103" s="193">
        <v>25</v>
      </c>
      <c r="E103" s="33" t="str">
        <f>IF(OR($B102="",$B104=""),IF($B102="",IF($B104="","",'[1]I.st-výs-KO'!$F26),'[1]I.st-výs-KO'!$C26),'[1]I.st-výs-KO'!$Q26)</f>
        <v>Polívková Barbora</v>
      </c>
      <c r="F103" s="46"/>
      <c r="G103" s="40"/>
      <c r="H103" s="46"/>
    </row>
    <row r="104" spans="1:8" ht="12.75">
      <c r="A104" s="27">
        <v>50</v>
      </c>
      <c r="B104" s="28">
        <f>IF('[1]copy_I.st_KO_afterdraw'!$C$56="","",'[1]copy_I.st_KO_afterdraw'!$C$56)</f>
      </c>
      <c r="C104" s="36" t="str">
        <f>IF(B104="","bye",CONCATENATE(VLOOKUP(B104,'[1]Rank'!$A$3:$D$300,2),"  (",VLOOKUP(B104,'[1]Rank'!$A$3:$D$300,3),")"))</f>
        <v>bye</v>
      </c>
      <c r="D104" s="194"/>
      <c r="E104" s="43">
        <f>IF($B102="","",IF($B104="","",IF('[1]I.st-výs-KO'!$P26="","",'[1]I.st-výs-KO'!$S26)))</f>
      </c>
      <c r="F104" s="57"/>
      <c r="G104" s="40"/>
      <c r="H104" s="46"/>
    </row>
    <row r="105" spans="1:8" ht="12.75">
      <c r="A105" s="27"/>
      <c r="B105" s="27"/>
      <c r="D105" s="20"/>
      <c r="E105" s="195">
        <f>IF(AND('[1]Turnaj'!$L$10=16,'[1]copy_before_draw_I_st'!$F$1&gt;64),77,IF(AND('[1]Turnaj'!$L$10=8,'[1]copy_before_draw_I_st'!$F$1&gt;64),77,IF(AND('[1]Turnaj'!$L$10=16,'[1]copy_before_draw_I_st'!$F$1&lt;=64),45,IF(AND('[1]Turnaj'!$L$10=8,'[1]copy_before_draw_I_st'!$F$1&lt;=64),45,""))))</f>
        <v>45</v>
      </c>
      <c r="F105" s="47" t="str">
        <f>IF($E$105=45,IF('[1]I.st-výs-KO'!$Q47="","",'[1]I.st-výs-KO'!$Q47),IF($E$105=77,IF('[1]I.st-výs-KO'!$Q79="","",'[1]I.st-výs-KO'!$Q79),""))</f>
        <v>Polívková Barbora</v>
      </c>
      <c r="G105" s="40"/>
      <c r="H105" s="46"/>
    </row>
    <row r="106" spans="1:8" ht="12.75">
      <c r="A106" s="27">
        <v>51</v>
      </c>
      <c r="B106" s="28">
        <f>IF('[1]copy_I.st_KO_afterdraw'!$C$57="","",'[1]copy_I.st_KO_afterdraw'!$C$57)</f>
        <v>66</v>
      </c>
      <c r="C106" s="36" t="str">
        <f>IF(B106="","bye",CONCATENATE(VLOOKUP(B106,'[1]Rank'!$A$3:$D$300,2),"  (",VLOOKUP(B106,'[1]Rank'!$A$3:$D$300,3),")"))</f>
        <v>Malíková Klára  (KST Hluk)</v>
      </c>
      <c r="D106" s="51"/>
      <c r="E106" s="195"/>
      <c r="F106" s="52" t="str">
        <f>IF($E$105=45,IF('[1]I.st-výs-KO'!$P47="","",'[1]I.st-výs-KO'!$S47),IF($E$105=77,IF('[1]I.st-výs-KO'!$P79="","",'[1]I.st-výs-KO'!$S79),""))</f>
        <v>3:0 (4,7,7)</v>
      </c>
      <c r="G106" s="40"/>
      <c r="H106" s="46"/>
    </row>
    <row r="107" spans="1:8" ht="12.75">
      <c r="A107" s="27"/>
      <c r="B107" s="27"/>
      <c r="C107" s="50"/>
      <c r="D107" s="193">
        <v>26</v>
      </c>
      <c r="E107" s="33" t="str">
        <f>IF(OR($B106="",$B108=""),IF($B106="",IF($B108="","",'[1]I.st-výs-KO'!$F27),'[1]I.st-výs-KO'!$C27),'[1]I.st-výs-KO'!$Q27)</f>
        <v>Melnyková Liana</v>
      </c>
      <c r="F107" s="57"/>
      <c r="G107" s="40"/>
      <c r="H107" s="46"/>
    </row>
    <row r="108" spans="1:8" ht="12.75">
      <c r="A108" s="27">
        <v>52</v>
      </c>
      <c r="B108" s="28">
        <f>IF('[1]copy_I.st_KO_afterdraw'!$C$58="","",'[1]copy_I.st_KO_afterdraw'!$C$58)</f>
        <v>72</v>
      </c>
      <c r="C108" s="29" t="str">
        <f>IF(B108="","bye",CONCATENATE(VLOOKUP(B108,'[1]Rank'!$A$3:$D$300,2),"  (",VLOOKUP(B108,'[1]Rank'!$A$3:$D$300,3),")"))</f>
        <v>Melnyková Liana  (TJ Sokol Plzeň V.)</v>
      </c>
      <c r="D108" s="194"/>
      <c r="E108" s="43" t="str">
        <f>IF($B106="","",IF($B108="","",IF('[1]I.st-výs-KO'!$P27="","",'[1]I.st-výs-KO'!$S27)))</f>
        <v>wo</v>
      </c>
      <c r="F108" s="56"/>
      <c r="G108" s="40"/>
      <c r="H108" s="46"/>
    </row>
    <row r="109" spans="1:8" ht="12.75">
      <c r="A109" s="27"/>
      <c r="B109" s="27"/>
      <c r="C109" s="27"/>
      <c r="D109" s="51"/>
      <c r="E109" s="27"/>
      <c r="F109" s="190">
        <f>IF(AND('[1]Turnaj'!$L$10=16,'[1]copy_before_draw_I_st'!$F$1&gt;64),103,IF(AND('[1]Turnaj'!$L$10=8,'[1]copy_before_draw_I_st'!$F$1&gt;64),103,IF(AND('[1]Turnaj'!$L$10=8,'[1]copy_before_draw_I_st'!$F$1&lt;=64),55,"")))</f>
        <v>55</v>
      </c>
      <c r="G109" s="40" t="str">
        <f>IF($F$109=55,IF('[1]I.st-výs-KO'!$Q58="","",'[1]I.st-výs-KO'!$Q58),IF($F$109=103,IF('[1]I.st-výs-KO'!$Q106="","",'[1]I.st-výs-KO'!$Q106),""))</f>
        <v>Polívková Barbora</v>
      </c>
      <c r="H109" s="46"/>
    </row>
    <row r="110" spans="1:8" ht="12.75">
      <c r="A110" s="27">
        <v>53</v>
      </c>
      <c r="B110" s="28">
        <f>IF('[1]copy_I.st_KO_afterdraw'!$C$59="","",'[1]copy_I.st_KO_afterdraw'!$C$59)</f>
        <v>83</v>
      </c>
      <c r="C110" s="29" t="str">
        <f>IF(B110="","bye",CONCATENATE(VLOOKUP(B110,'[1]Rank'!$A$3:$D$300,2),"  (",VLOOKUP(B110,'[1]Rank'!$A$3:$D$300,3),")"))</f>
        <v>Kuličová Aneta  (TJ Sokol PP Hradec Králové 2)</v>
      </c>
      <c r="D110" s="51"/>
      <c r="E110" s="27"/>
      <c r="F110" s="190"/>
      <c r="G110" s="40" t="str">
        <f>IF($F$109=55,IF('[1]I.st-výs-KO'!$P58="","",'[1]I.st-výs-KO'!$S58),IF($F$109=103,IF('[1]I.st-výs-KO'!$P106="","",'[1]I.st-výs-KO'!$S106),""))</f>
        <v>3:0 (9,11,10)</v>
      </c>
      <c r="H110" s="46"/>
    </row>
    <row r="111" spans="1:8" ht="12.75">
      <c r="A111" s="27"/>
      <c r="B111" s="27"/>
      <c r="C111" s="50"/>
      <c r="D111" s="193">
        <v>27</v>
      </c>
      <c r="E111" s="33" t="str">
        <f>IF(OR($B110="",$B112=""),IF($B110="",IF($B112="","",'[1]I.st-výs-KO'!$F28),'[1]I.st-výs-KO'!$C28),'[1]I.st-výs-KO'!$Q28)</f>
        <v>Melicharová Iveta</v>
      </c>
      <c r="F111" s="56"/>
      <c r="G111" s="40"/>
      <c r="H111" s="46"/>
    </row>
    <row r="112" spans="1:8" ht="12.75">
      <c r="A112" s="27">
        <v>54</v>
      </c>
      <c r="B112" s="28">
        <f>IF('[1]copy_I.st_KO_afterdraw'!$C$60="","",'[1]copy_I.st_KO_afterdraw'!$C$60)</f>
        <v>47</v>
      </c>
      <c r="C112" s="36" t="str">
        <f>IF(B112="","bye",CONCATENATE(VLOOKUP(B112,'[1]Rank'!$A$3:$D$300,2),"  (",VLOOKUP(B112,'[1]Rank'!$A$3:$D$300,3),")"))</f>
        <v>Melicharová Iveta  (TTC Elizza Praha)</v>
      </c>
      <c r="D112" s="194"/>
      <c r="E112" s="43" t="str">
        <f>IF($B110="","",IF($B112="","",IF('[1]I.st-výs-KO'!$P28="","",'[1]I.st-výs-KO'!$S28)))</f>
        <v>wo</v>
      </c>
      <c r="F112" s="57"/>
      <c r="G112" s="40"/>
      <c r="H112" s="46"/>
    </row>
    <row r="113" spans="1:8" ht="12.75">
      <c r="A113" s="27"/>
      <c r="B113" s="27"/>
      <c r="C113" s="27"/>
      <c r="D113" s="51"/>
      <c r="E113" s="195">
        <f>IF(AND('[1]Turnaj'!$L$10=16,'[1]copy_before_draw_I_st'!$F$1&gt;64),78,IF(AND('[1]Turnaj'!$L$10=8,'[1]copy_before_draw_I_st'!$F$1&gt;64),78,IF(AND('[1]Turnaj'!$L$10=16,'[1]copy_before_draw_I_st'!$F$1&lt;=64),46,IF(AND('[1]Turnaj'!$L$10=8,'[1]copy_before_draw_I_st'!$F$1&lt;=64),46,""))))</f>
        <v>46</v>
      </c>
      <c r="F113" s="58" t="str">
        <f>IF($E$113=46,IF('[1]I.st-výs-KO'!$Q48="","",'[1]I.st-výs-KO'!$Q48),IF($E$113=78,IF('[1]I.st-výs-KO'!$Q80="","",'[1]I.st-výs-KO'!$Q80),""))</f>
        <v>Sedláčková Tereza</v>
      </c>
      <c r="G113" s="40"/>
      <c r="H113" s="46"/>
    </row>
    <row r="114" spans="1:8" ht="12.75">
      <c r="A114" s="27">
        <v>55</v>
      </c>
      <c r="B114" s="28">
        <f>IF('[1]copy_I.st_KO_afterdraw'!$C$61="","",'[1]copy_I.st_KO_afterdraw'!$C$61)</f>
      </c>
      <c r="C114" s="36" t="str">
        <f>IF(B114="","bye",CONCATENATE(VLOOKUP(B114,'[1]Rank'!$A$3:$D$300,2),"  (",VLOOKUP(B114,'[1]Rank'!$A$3:$D$300,3),")"))</f>
        <v>bye</v>
      </c>
      <c r="D114" s="51"/>
      <c r="E114" s="195"/>
      <c r="F114" s="52" t="str">
        <f>IF($E$113=46,IF('[1]I.st-výs-KO'!$P48="","",'[1]I.st-výs-KO'!$S48),IF($E$113=78,IF('[1]I.st-výs-KO'!$P80="","",'[1]I.st-výs-KO'!$S80),""))</f>
        <v>3:2 (-6,11,-8,4,4)</v>
      </c>
      <c r="G114" s="40"/>
      <c r="H114" s="46"/>
    </row>
    <row r="115" spans="1:8" ht="12.75">
      <c r="A115" s="27"/>
      <c r="B115" s="27"/>
      <c r="C115" s="50"/>
      <c r="D115" s="193">
        <v>28</v>
      </c>
      <c r="E115" s="33" t="str">
        <f>IF(OR($B114="",$B116=""),IF($B114="",IF($B116="","",'[1]I.st-výs-KO'!$F29),'[1]I.st-výs-KO'!$C29),'[1]I.st-výs-KO'!$Q29)</f>
        <v>Sedláčková Tereza</v>
      </c>
      <c r="F115" s="57"/>
      <c r="G115" s="40"/>
      <c r="H115" s="46"/>
    </row>
    <row r="116" spans="1:8" ht="12.75">
      <c r="A116" s="27">
        <v>56</v>
      </c>
      <c r="B116" s="28">
        <f>IF('[1]copy_I.st_KO_afterdraw'!$C$62="","",'[1]copy_I.st_KO_afterdraw'!$C$62)</f>
        <v>29</v>
      </c>
      <c r="C116" s="29" t="str">
        <f>IF(B116="","bye",CONCATENATE(VLOOKUP(B116,'[1]Rank'!$A$3:$D$300,2),"  (",VLOOKUP(B116,'[1]Rank'!$A$3:$D$300,3),")"))</f>
        <v>Sedláčková Tereza  (Sokol Chrudim)</v>
      </c>
      <c r="D116" s="194"/>
      <c r="E116" s="43">
        <f>IF($B114="","",IF($B116="","",IF('[1]I.st-výs-KO'!$P29="","",'[1]I.st-výs-KO'!$S29)))</f>
      </c>
      <c r="F116" s="56"/>
      <c r="G116" s="40"/>
      <c r="H116" s="46"/>
    </row>
    <row r="117" spans="1:8" ht="12.75">
      <c r="A117" s="27"/>
      <c r="B117" s="27"/>
      <c r="C117" s="27"/>
      <c r="D117" s="51"/>
      <c r="E117" s="27"/>
      <c r="F117" s="56"/>
      <c r="G117" s="190">
        <f>IF(AND('[1]Turnaj'!$L$10=8,'[1]copy_before_draw_I_st'!$F$1&gt;64),116,"")</f>
      </c>
      <c r="H117" s="48">
        <f>IF($G$117=116,IF('[1]I.st-výs-KO'!$Q120="","",'[1]I.st-výs-KO'!$Q120),"")</f>
      </c>
    </row>
    <row r="118" spans="1:8" ht="12.75">
      <c r="A118" s="27">
        <v>57</v>
      </c>
      <c r="B118" s="28">
        <f>IF('[1]copy_I.st_KO_afterdraw'!$C$63="","",'[1]copy_I.st_KO_afterdraw'!$C$63)</f>
        <v>26</v>
      </c>
      <c r="C118" s="29" t="str">
        <f>IF(B118="","bye",CONCATENATE(VLOOKUP(B118,'[1]Rank'!$A$3:$D$300,2),"  (",VLOOKUP(B118,'[1]Rank'!$A$3:$D$300,3),")"))</f>
        <v>Jemelíková Alice  (SK Frýdlant nad Ostravicí)</v>
      </c>
      <c r="D118" s="65"/>
      <c r="E118" s="27"/>
      <c r="F118" s="56"/>
      <c r="G118" s="190"/>
      <c r="H118" s="40">
        <f>IF($G$117=116,IF('[1]I.st-výs-KO'!$P120="","",'[1]I.st-výs-KO'!$S120),"")</f>
      </c>
    </row>
    <row r="119" spans="1:8" ht="12.75">
      <c r="A119" s="27"/>
      <c r="B119" s="27"/>
      <c r="C119" s="50"/>
      <c r="D119" s="193">
        <v>29</v>
      </c>
      <c r="E119" s="33" t="str">
        <f>IF(OR($B118="",$B120=""),IF($B118="",IF($B120="","",'[1]I.st-výs-KO'!$F30),'[1]I.st-výs-KO'!$C30),'[1]I.st-výs-KO'!$Q30)</f>
        <v>Jemelíková Alice</v>
      </c>
      <c r="F119" s="56"/>
      <c r="G119" s="40"/>
      <c r="H119" s="46"/>
    </row>
    <row r="120" spans="1:8" ht="12.75">
      <c r="A120" s="27">
        <v>58</v>
      </c>
      <c r="B120" s="28">
        <f>IF('[1]copy_I.st_KO_afterdraw'!$C$64="","",'[1]copy_I.st_KO_afterdraw'!$C$64)</f>
      </c>
      <c r="C120" s="36" t="str">
        <f>IF(B120="","bye",CONCATENATE(VLOOKUP(B120,'[1]Rank'!$A$3:$D$300,2),"  (",VLOOKUP(B120,'[1]Rank'!$A$3:$D$300,3),")"))</f>
        <v>bye</v>
      </c>
      <c r="D120" s="194"/>
      <c r="E120" s="37">
        <f>IF($B118="","",IF($B120="","",IF('[1]I.st-výs-KO'!$P30="","",'[1]I.st-výs-KO'!$S30)))</f>
      </c>
      <c r="F120" s="56"/>
      <c r="G120" s="40"/>
      <c r="H120" s="46"/>
    </row>
    <row r="121" spans="1:8" ht="12.75">
      <c r="A121" s="27"/>
      <c r="B121" s="27"/>
      <c r="C121" s="27"/>
      <c r="D121" s="51"/>
      <c r="E121" s="195">
        <f>IF(AND('[1]Turnaj'!$L$10=16,'[1]copy_before_draw_I_st'!$F$1&gt;64),79,IF(AND('[1]Turnaj'!$L$10=8,'[1]copy_before_draw_I_st'!$F$1&gt;64),79,IF(AND('[1]Turnaj'!$L$10=16,'[1]copy_before_draw_I_st'!$F$1&lt;=64),47,IF(AND('[1]Turnaj'!$L$10=8,'[1]copy_before_draw_I_st'!$F$1&lt;=64),47,""))))</f>
        <v>47</v>
      </c>
      <c r="F121" s="47" t="str">
        <f>IF($E$121=47,IF('[1]I.st-výs-KO'!$Q49="","",'[1]I.st-výs-KO'!$Q49),IF($E$121=79,IF('[1]I.st-výs-KO'!$Q81="","",'[1]I.st-výs-KO'!$Q81),""))</f>
        <v>Bačinová Pavla</v>
      </c>
      <c r="G121" s="40"/>
      <c r="H121" s="46"/>
    </row>
    <row r="122" spans="1:8" ht="12.75">
      <c r="A122" s="27">
        <v>59</v>
      </c>
      <c r="B122" s="28">
        <f>IF('[1]copy_I.st_KO_afterdraw'!$C$65="","",'[1]copy_I.st_KO_afterdraw'!$C$65)</f>
      </c>
      <c r="C122" s="36" t="str">
        <f>IF(B122="","bye",CONCATENATE(VLOOKUP(B122,'[1]Rank'!$A$3:$D$300,2),"  (",VLOOKUP(B122,'[1]Rank'!$A$3:$D$300,3),")"))</f>
        <v>bye</v>
      </c>
      <c r="D122" s="51"/>
      <c r="E122" s="195"/>
      <c r="F122" s="52" t="str">
        <f>IF($E$121=47,IF('[1]I.st-výs-KO'!$P49="","",'[1]I.st-výs-KO'!$S49),IF($E$121=79,IF('[1]I.st-výs-KO'!$P81="","",'[1]I.st-výs-KO'!$S81),""))</f>
        <v>3:1 (-11,9,8,10)</v>
      </c>
      <c r="G122" s="40"/>
      <c r="H122" s="46"/>
    </row>
    <row r="123" spans="1:8" ht="12.75">
      <c r="A123" s="27"/>
      <c r="B123" s="27"/>
      <c r="C123" s="50"/>
      <c r="D123" s="193">
        <v>30</v>
      </c>
      <c r="E123" s="33" t="str">
        <f>IF(OR($B122="",$B124=""),IF($B122="",IF($B124="","",'[1]I.st-výs-KO'!$F31),'[1]I.st-výs-KO'!$C31),'[1]I.st-výs-KO'!$Q31)</f>
        <v>Bačinová Pavla</v>
      </c>
      <c r="F123" s="57"/>
      <c r="G123" s="40"/>
      <c r="H123" s="46"/>
    </row>
    <row r="124" spans="1:8" ht="12.75">
      <c r="A124" s="27">
        <v>60</v>
      </c>
      <c r="B124" s="28">
        <f>IF('[1]copy_I.st_KO_afterdraw'!$C$66="","",'[1]copy_I.st_KO_afterdraw'!$C$66)</f>
        <v>85</v>
      </c>
      <c r="C124" s="29" t="str">
        <f>IF(B124="","bye",CONCATENATE(VLOOKUP(B124,'[1]Rank'!$A$3:$D$300,2),"  (",VLOOKUP(B124,'[1]Rank'!$A$3:$D$300,3),")"))</f>
        <v>Bačinová Pavla  (SK Dobré)</v>
      </c>
      <c r="D124" s="194"/>
      <c r="E124" s="43">
        <f>IF($B122="","",IF($B124="","",IF('[1]I.st-výs-KO'!$P31="","",'[1]I.st-výs-KO'!$S31)))</f>
      </c>
      <c r="F124" s="56"/>
      <c r="G124" s="40"/>
      <c r="H124" s="46"/>
    </row>
    <row r="125" spans="1:8" ht="12.75">
      <c r="A125" s="27"/>
      <c r="B125" s="27"/>
      <c r="C125" s="27"/>
      <c r="D125" s="51"/>
      <c r="E125" s="27"/>
      <c r="F125" s="190">
        <f>IF(AND('[1]Turnaj'!$L$10=16,'[1]copy_before_draw_I_st'!$F$1&gt;64),104,IF(AND('[1]Turnaj'!$L$10=8,'[1]copy_before_draw_I_st'!$F$1&gt;64),104,IF(AND('[1]Turnaj'!$L$10=8,'[1]copy_before_draw_I_st'!$F$1&lt;=64),56,"")))</f>
        <v>56</v>
      </c>
      <c r="G125" s="40" t="str">
        <f>IF($F$125=56,IF('[1]I.st-výs-KO'!$Q59="","",'[1]I.st-výs-KO'!$Q59),IF($F$125=104,IF('[1]I.st-výs-KO'!$Q107="","",'[1]I.st-výs-KO'!$Q107),""))</f>
        <v>Blechová Barbora</v>
      </c>
      <c r="H125" s="46"/>
    </row>
    <row r="126" spans="1:8" ht="12.75">
      <c r="A126" s="27">
        <v>61</v>
      </c>
      <c r="B126" s="28">
        <f>IF('[1]copy_I.st_KO_afterdraw'!$C$67="","",'[1]copy_I.st_KO_afterdraw'!$C$67)</f>
        <v>60</v>
      </c>
      <c r="C126" s="29" t="str">
        <f>IF(B126="","bye",CONCATENATE(VLOOKUP(B126,'[1]Rank'!$A$3:$D$300,2),"  (",VLOOKUP(B126,'[1]Rank'!$A$3:$D$300,3),")"))</f>
        <v>Komárková Kateřina  (SK Přerov)</v>
      </c>
      <c r="D126" s="51"/>
      <c r="E126" s="27"/>
      <c r="F126" s="190"/>
      <c r="G126" s="40" t="str">
        <f>IF($F$125=56,IF('[1]I.st-výs-KO'!$P59="","",'[1]I.st-výs-KO'!$S59),IF($F$125=104,IF('[1]I.st-výs-KO'!$P107="","",'[1]I.st-výs-KO'!$S107),""))</f>
        <v>3:0 (7,3,7)</v>
      </c>
      <c r="H126" s="46"/>
    </row>
    <row r="127" spans="1:8" ht="12.75">
      <c r="A127" s="27"/>
      <c r="B127" s="27"/>
      <c r="C127" s="50"/>
      <c r="D127" s="193">
        <v>31</v>
      </c>
      <c r="E127" s="33" t="str">
        <f>IF(OR($B126="",$B128=""),IF($B126="",IF($B128="","",'[1]I.st-výs-KO'!$F32),'[1]I.st-výs-KO'!$C32),'[1]I.st-výs-KO'!$Q32)</f>
        <v>Fronová Sabina</v>
      </c>
      <c r="F127" s="56"/>
      <c r="G127" s="40"/>
      <c r="H127" s="46"/>
    </row>
    <row r="128" spans="1:8" ht="12.75">
      <c r="A128" s="27">
        <v>62</v>
      </c>
      <c r="B128" s="28">
        <f>IF('[1]copy_I.st_KO_afterdraw'!$C$68="","",'[1]copy_I.st_KO_afterdraw'!$C$68)</f>
        <v>70</v>
      </c>
      <c r="C128" s="36" t="str">
        <f>IF(B128="","bye",CONCATENATE(VLOOKUP(B128,'[1]Rank'!$A$3:$D$300,2),"  (",VLOOKUP(B128,'[1]Rank'!$A$3:$D$300,3),")"))</f>
        <v>Fronová Sabina  (TJ Sokol Děhylov)</v>
      </c>
      <c r="D128" s="194"/>
      <c r="E128" s="37" t="str">
        <f>IF($B126="","",IF($B128="","",IF('[1]I.st-výs-KO'!$P32="","",'[1]I.st-výs-KO'!$S32)))</f>
        <v>3:2 (-2,-8,4,8,8)</v>
      </c>
      <c r="F128" s="56"/>
      <c r="G128" s="40"/>
      <c r="H128" s="46"/>
    </row>
    <row r="129" spans="1:8" ht="12.75">
      <c r="A129" s="27"/>
      <c r="B129" s="27"/>
      <c r="C129" s="27"/>
      <c r="D129" s="51"/>
      <c r="E129" s="195">
        <f>IF(AND('[1]Turnaj'!$L$10=16,'[1]copy_before_draw_I_st'!$F$1&gt;64),80,IF(AND('[1]Turnaj'!$L$10=8,'[1]copy_before_draw_I_st'!$F$1&gt;64),80,IF(AND('[1]Turnaj'!$L$10=16,'[1]copy_before_draw_I_st'!$F$1&lt;=64),48,IF(AND('[1]Turnaj'!$L$10=8,'[1]copy_before_draw_I_st'!$F$1&lt;=64),48,""))))</f>
        <v>48</v>
      </c>
      <c r="F129" s="58" t="str">
        <f>IF($E$129=48,IF('[1]I.st-výs-KO'!$Q50="","",'[1]I.st-výs-KO'!$Q50),IF($E$129=80,IF('[1]I.st-výs-KO'!$Q82="","",'[1]I.st-výs-KO'!$Q82),""))</f>
        <v>Blechová Barbora</v>
      </c>
      <c r="G129" s="40"/>
      <c r="H129" s="46"/>
    </row>
    <row r="130" spans="1:8" ht="12.75">
      <c r="A130" s="27">
        <v>63</v>
      </c>
      <c r="B130" s="28">
        <f>IF('[1]copy_I.st_KO_afterdraw'!$C$69="","",'[1]copy_I.st_KO_afterdraw'!$C$69)</f>
      </c>
      <c r="C130" s="36" t="str">
        <f>IF(B130="","bye",CONCATENATE(VLOOKUP(B130,'[1]Rank'!$A$3:$D$300,2),"  (",VLOOKUP(B130,'[1]Rank'!$A$3:$D$300,3),")"))</f>
        <v>bye</v>
      </c>
      <c r="D130" s="51"/>
      <c r="E130" s="195"/>
      <c r="F130" s="52" t="str">
        <f>IF($E$129=48,IF('[1]I.st-výs-KO'!$P50="","",'[1]I.st-výs-KO'!$S50),IF($E$129=80,IF('[1]I.st-výs-KO'!$P82="","",'[1]I.st-výs-KO'!$S82),""))</f>
        <v>3:0 (6,6,4)</v>
      </c>
      <c r="G130" s="40"/>
      <c r="H130" s="46"/>
    </row>
    <row r="131" spans="1:8" ht="12.75">
      <c r="A131" s="27"/>
      <c r="B131" s="27"/>
      <c r="C131" s="50"/>
      <c r="D131" s="193">
        <v>32</v>
      </c>
      <c r="E131" s="33" t="str">
        <f>IF(OR($B130="",$B132=""),IF($B130="",IF($B132="","",'[1]I.st-výs-KO'!$F33),'[1]I.st-výs-KO'!$C33),'[1]I.st-výs-KO'!$Q33)</f>
        <v>Blechová Barbora</v>
      </c>
      <c r="F131" s="57"/>
      <c r="G131" s="40"/>
      <c r="H131" s="46"/>
    </row>
    <row r="132" spans="1:8" ht="12.75">
      <c r="A132" s="27">
        <v>64</v>
      </c>
      <c r="B132" s="28">
        <f>IF('[1]copy_I.st_KO_afterdraw'!$C$70="","",'[1]copy_I.st_KO_afterdraw'!$C$70)</f>
        <v>14</v>
      </c>
      <c r="C132" s="29" t="str">
        <f>IF(B132="","bye",CONCATENATE(VLOOKUP(B132,'[1]Rank'!$A$3:$D$300,2),"  (",VLOOKUP(B132,'[1]Rank'!$A$3:$D$300,3),")"))</f>
        <v>Blechová Barbora  (SKST Hodonín)</v>
      </c>
      <c r="D132" s="194"/>
      <c r="E132" s="43">
        <f>IF($B130="","",IF($B132="","",IF('[1]I.st-výs-KO'!$P33="","",'[1]I.st-výs-KO'!$S33)))</f>
      </c>
      <c r="F132" s="56"/>
      <c r="G132" s="40"/>
      <c r="H132" s="46"/>
    </row>
    <row r="133" spans="1:8" ht="25.5">
      <c r="A133" s="191">
        <f>IF($A$136=65,$A$1,"")</f>
      </c>
      <c r="B133" s="191"/>
      <c r="C133" s="191"/>
      <c r="D133" s="191"/>
      <c r="E133" s="191"/>
      <c r="F133" s="191"/>
      <c r="G133" s="191"/>
      <c r="H133" s="191"/>
    </row>
    <row r="134" spans="1:8" ht="18.75">
      <c r="A134" s="192">
        <f>IF($A$136=65,CONCATENATE("Dvouhra"," ",'[1]Turnaj'!$F$6," - ","I. stupeň"),"")</f>
      </c>
      <c r="B134" s="192"/>
      <c r="C134" s="192"/>
      <c r="D134" s="192"/>
      <c r="E134" s="192"/>
      <c r="F134" s="192"/>
      <c r="G134" s="192"/>
      <c r="H134" s="192"/>
    </row>
    <row r="135" spans="3:8" ht="15.75">
      <c r="C135" s="22"/>
      <c r="D135" s="24"/>
      <c r="F135" s="61"/>
      <c r="H135" s="61">
        <f>IF($A$136=65,$G$3,"")</f>
      </c>
    </row>
    <row r="136" spans="1:8" ht="15.75">
      <c r="A136" s="27">
        <f>IF('[1]copy_before_draw_I_st'!$F$1&gt;64,65,"")</f>
      </c>
      <c r="B136" s="66">
        <f>IF('[1]copy_I.st_KO_afterdraw'!$C$71="","",'[1]copy_I.st_KO_afterdraw'!$C$71)</f>
      </c>
      <c r="C136" s="38">
        <f>IF($A$136=65,IF(B136="","bye",CONCATENATE(VLOOKUP(B136,'[1]Rank'!$A$3:$D$300,2),"  (",VLOOKUP(B136,'[1]Rank'!$A$3:$D$300,3),")")),"")</f>
      </c>
      <c r="E136" s="22"/>
      <c r="F136" s="34"/>
      <c r="H136" s="31">
        <f>IF($A$136=65,"Stránka 3","")</f>
      </c>
    </row>
    <row r="137" spans="1:6" ht="12.75">
      <c r="A137" s="27"/>
      <c r="B137" s="66"/>
      <c r="C137" s="27"/>
      <c r="D137" s="188">
        <f>IF('[1]copy_before_draw_I_st'!$F$1&gt;64,33,"")</f>
      </c>
      <c r="E137" s="54">
        <f>IF(OR($B136="",$B138=""),IF($B136="",IF($B138="","",'[1]I.st-výs-KO'!$F34),'[1]I.st-výs-KO'!$C34),'[1]I.st-výs-KO'!$Q34)</f>
      </c>
      <c r="F137" s="34"/>
    </row>
    <row r="138" spans="1:6" ht="12.75">
      <c r="A138" s="27">
        <f>IF('[1]copy_before_draw_I_st'!$F$1&gt;64,66,"")</f>
      </c>
      <c r="B138" s="66">
        <f>IF('[1]copy_I.st_KO_afterdraw'!$C$72="","",'[1]copy_I.st_KO_afterdraw'!$C$72)</f>
      </c>
      <c r="C138" s="27">
        <f>IF($A$136=65,IF(B138="","bye",CONCATENATE(VLOOKUP(B138,'[1]Rank'!$A$3:$D$300,2),"  (",VLOOKUP(B138,'[1]Rank'!$A$3:$D$300,3),")")),"")</f>
      </c>
      <c r="D138" s="188"/>
      <c r="E138" s="54">
        <f>IF($B136="","",IF($B138="","",IF('[1]I.st-výs-KO'!$P34="","",'[1]I.st-výs-KO'!$S34)))</f>
      </c>
      <c r="F138" s="34"/>
    </row>
    <row r="139" spans="1:6" ht="12.75">
      <c r="A139" s="27"/>
      <c r="B139" s="66"/>
      <c r="C139" s="27"/>
      <c r="D139" s="49"/>
      <c r="E139" s="189">
        <f>IF('[1]copy_before_draw_I_st'!$F$1&gt;64,81,"")</f>
      </c>
      <c r="F139" s="40">
        <f>IF($E$139=81,IF('[1]I.st-výs-KO'!$Q83="","",'[1]I.st-výs-KO'!$Q83),"")</f>
      </c>
    </row>
    <row r="140" spans="1:7" ht="12.75">
      <c r="A140" s="27">
        <f>IF('[1]copy_before_draw_I_st'!$F$1&gt;64,67,"")</f>
      </c>
      <c r="B140" s="66">
        <f>IF('[1]copy_I.st_KO_afterdraw'!$C$73="","",'[1]copy_I.st_KO_afterdraw'!$C$73)</f>
      </c>
      <c r="C140" s="27">
        <f>IF($A$136=65,IF(B140="","bye",CONCATENATE(VLOOKUP(B140,'[1]Rank'!$A$3:$D$300,2),"  (",VLOOKUP(B140,'[1]Rank'!$A$3:$D$300,3),")")),"")</f>
      </c>
      <c r="D140" s="49"/>
      <c r="E140" s="189"/>
      <c r="F140" s="40">
        <f>IF($E$139=81,IF('[1]I.st-výs-KO'!$P83="","",'[1]I.st-výs-KO'!$S83),"")</f>
      </c>
      <c r="G140" s="67"/>
    </row>
    <row r="141" spans="1:7" ht="12.75">
      <c r="A141" s="27"/>
      <c r="B141" s="66"/>
      <c r="C141" s="27"/>
      <c r="D141" s="188">
        <f>IF('[1]copy_before_draw_I_st'!$F$1&gt;64,34,"")</f>
      </c>
      <c r="E141" s="54">
        <f>IF(OR($B140="",$B142=""),IF($B140="",IF($B142="","",'[1]I.st-výs-KO'!$F35),'[1]I.st-výs-KO'!$C35),'[1]I.st-výs-KO'!$Q35)</f>
      </c>
      <c r="F141" s="40"/>
      <c r="G141" s="67"/>
    </row>
    <row r="142" spans="1:7" ht="12.75">
      <c r="A142" s="27">
        <f>IF('[1]copy_before_draw_I_st'!$F$1&gt;64,68,"")</f>
      </c>
      <c r="B142" s="66">
        <f>IF('[1]copy_I.st_KO_afterdraw'!$C$74="","",'[1]copy_I.st_KO_afterdraw'!$C$74)</f>
      </c>
      <c r="C142" s="38">
        <f>IF($A$136=65,IF(B142="","bye",CONCATENATE(VLOOKUP(B142,'[1]Rank'!$A$3:$D$300,2),"  (",VLOOKUP(B142,'[1]Rank'!$A$3:$D$300,3),")")),"")</f>
      </c>
      <c r="D142" s="188"/>
      <c r="E142" s="54">
        <f>IF($B140="","",IF($B142="","",IF('[1]I.st-výs-KO'!$P35="","",'[1]I.st-výs-KO'!$S35)))</f>
      </c>
      <c r="F142" s="40"/>
      <c r="G142" s="67"/>
    </row>
    <row r="143" spans="1:7" ht="12.75">
      <c r="A143" s="27"/>
      <c r="B143" s="66"/>
      <c r="C143" s="27"/>
      <c r="D143" s="49"/>
      <c r="E143" s="44"/>
      <c r="F143" s="190">
        <f>IF(AND('[1]Turnaj'!$L$10=16,'[1]copy_before_draw_I_st'!$F$1&gt;64),105,IF(AND('[1]Turnaj'!$L$10=8,'[1]copy_before_draw_I_st'!$F$1&gt;64),105,""))</f>
      </c>
      <c r="G143" s="67">
        <f>IF($F$143=105,IF('[1]I.st-výs-KO'!$Q108="","",'[1]I.st-výs-KO'!$Q108),"")</f>
      </c>
    </row>
    <row r="144" spans="1:8" ht="12.75">
      <c r="A144" s="27">
        <f>IF('[1]copy_before_draw_I_st'!$F$1&gt;64,69,"")</f>
      </c>
      <c r="B144" s="66">
        <f>IF('[1]copy_I.st_KO_afterdraw'!$C$75="","",'[1]copy_I.st_KO_afterdraw'!$C$75)</f>
      </c>
      <c r="C144" s="38">
        <f>IF($A$136=65,IF(B144="","bye",CONCATENATE(VLOOKUP(B144,'[1]Rank'!$A$3:$D$300,2),"  (",VLOOKUP(B144,'[1]Rank'!$A$3:$D$300,3),")")),"")</f>
      </c>
      <c r="D144" s="49"/>
      <c r="E144" s="44"/>
      <c r="F144" s="190"/>
      <c r="G144" s="67">
        <f>IF($F$143=105,IF('[1]I.st-výs-KO'!$P108="","",'[1]I.st-výs-KO'!$S108),"")</f>
      </c>
      <c r="H144" s="68"/>
    </row>
    <row r="145" spans="1:8" ht="12.75">
      <c r="A145" s="27"/>
      <c r="B145" s="66"/>
      <c r="C145" s="27"/>
      <c r="D145" s="188">
        <f>IF('[1]copy_before_draw_I_st'!$F$1&gt;64,35,"")</f>
      </c>
      <c r="E145" s="54">
        <f>IF(OR($B144="",$B146=""),IF($B144="",IF($B146="","",'[1]I.st-výs-KO'!$F36),'[1]I.st-výs-KO'!$C36),'[1]I.st-výs-KO'!$Q36)</f>
      </c>
      <c r="F145" s="40"/>
      <c r="G145" s="67"/>
      <c r="H145" s="68"/>
    </row>
    <row r="146" spans="1:8" ht="12.75">
      <c r="A146" s="27">
        <f>IF('[1]copy_before_draw_I_st'!$F$1&gt;64,70,"")</f>
      </c>
      <c r="B146" s="66">
        <f>IF('[1]copy_I.st_KO_afterdraw'!$C$76="","",'[1]copy_I.st_KO_afterdraw'!$C$76)</f>
      </c>
      <c r="C146" s="27">
        <f>IF($A$136=65,IF(B146="","bye",CONCATENATE(VLOOKUP(B146,'[1]Rank'!$A$3:$D$300,2),"  (",VLOOKUP(B146,'[1]Rank'!$A$3:$D$300,3),")")),"")</f>
      </c>
      <c r="D146" s="188"/>
      <c r="E146" s="54">
        <f>IF($B144="","",IF($B146="","",IF('[1]I.st-výs-KO'!$P36="","",'[1]I.st-výs-KO'!$S36)))</f>
      </c>
      <c r="F146" s="40"/>
      <c r="G146" s="67"/>
      <c r="H146" s="68"/>
    </row>
    <row r="147" spans="1:8" ht="12.75">
      <c r="A147" s="27"/>
      <c r="B147" s="66"/>
      <c r="C147" s="27"/>
      <c r="D147" s="49"/>
      <c r="E147" s="189">
        <f>IF('[1]copy_before_draw_I_st'!$F$1&gt;64,82,"")</f>
      </c>
      <c r="F147" s="40">
        <f>IF($E$147=82,IF('[1]I.st-výs-KO'!$Q84="","",'[1]I.st-výs-KO'!$Q84),"")</f>
      </c>
      <c r="G147" s="67"/>
      <c r="H147" s="68"/>
    </row>
    <row r="148" spans="1:8" ht="12.75">
      <c r="A148" s="27">
        <f>IF('[1]copy_before_draw_I_st'!$F$1&gt;64,71,"")</f>
      </c>
      <c r="B148" s="66">
        <f>IF('[1]copy_I.st_KO_afterdraw'!$C$77="","",'[1]copy_I.st_KO_afterdraw'!$C$77)</f>
      </c>
      <c r="C148" s="27">
        <f>IF($A$136=65,IF(B148="","bye",CONCATENATE(VLOOKUP(B148,'[1]Rank'!$A$3:$D$300,2),"  (",VLOOKUP(B148,'[1]Rank'!$A$3:$D$300,3),")")),"")</f>
      </c>
      <c r="D148" s="49"/>
      <c r="E148" s="189"/>
      <c r="F148" s="40">
        <f>IF($E$147=82,IF('[1]I.st-výs-KO'!$P84="","",'[1]I.st-výs-KO'!$S84),"")</f>
      </c>
      <c r="G148" s="67"/>
      <c r="H148" s="68"/>
    </row>
    <row r="149" spans="1:8" ht="12.75">
      <c r="A149" s="27"/>
      <c r="B149" s="66"/>
      <c r="C149" s="27"/>
      <c r="D149" s="188">
        <f>IF('[1]copy_before_draw_I_st'!$F$1&gt;64,36,"")</f>
      </c>
      <c r="E149" s="54">
        <f>IF(OR($B148="",$B150=""),IF($B148="",IF($B150="","",'[1]I.st-výs-KO'!$F37),'[1]I.st-výs-KO'!$C37),'[1]I.st-výs-KO'!$Q37)</f>
      </c>
      <c r="F149" s="46"/>
      <c r="G149" s="67"/>
      <c r="H149" s="68"/>
    </row>
    <row r="150" spans="1:8" ht="12.75">
      <c r="A150" s="27">
        <f>IF('[1]copy_before_draw_I_st'!$F$1&gt;64,72,"")</f>
      </c>
      <c r="B150" s="66">
        <f>IF('[1]copy_I.st_KO_afterdraw'!$C$78="","",'[1]copy_I.st_KO_afterdraw'!$C$78)</f>
      </c>
      <c r="C150" s="38">
        <f>IF($A$136=65,IF(B150="","bye",CONCATENATE(VLOOKUP(B150,'[1]Rank'!$A$3:$D$300,2),"  (",VLOOKUP(B150,'[1]Rank'!$A$3:$D$300,3),")")),"")</f>
      </c>
      <c r="D150" s="188"/>
      <c r="E150" s="54">
        <f>IF($B148="","",IF($B150="","",IF('[1]I.st-výs-KO'!$P37="","",'[1]I.st-výs-KO'!$S37)))</f>
      </c>
      <c r="F150" s="40"/>
      <c r="G150" s="67"/>
      <c r="H150" s="68"/>
    </row>
    <row r="151" spans="1:8" ht="12.75">
      <c r="A151" s="27"/>
      <c r="B151" s="66"/>
      <c r="C151" s="27"/>
      <c r="D151" s="49"/>
      <c r="E151" s="68"/>
      <c r="F151" s="40"/>
      <c r="G151" s="190">
        <f>IF(AND('[1]Turnaj'!$L$10=8,'[1]copy_before_draw_I_st'!$F$1&gt;64),117,"")</f>
      </c>
      <c r="H151" s="67">
        <f>IF($G$151=117,IF('[1]I.st-výs-KO'!$Q121="","",'[1]I.st-výs-KO'!$Q121),"")</f>
      </c>
    </row>
    <row r="152" spans="1:8" ht="12.75">
      <c r="A152" s="27">
        <f>IF('[1]copy_before_draw_I_st'!$F$1&gt;64,73,"")</f>
      </c>
      <c r="B152" s="66">
        <f>IF('[1]copy_I.st_KO_afterdraw'!$C$79="","",'[1]copy_I.st_KO_afterdraw'!$C$79)</f>
      </c>
      <c r="C152" s="38">
        <f>IF($A$136=65,IF(B152="","bye",CONCATENATE(VLOOKUP(B152,'[1]Rank'!$A$3:$D$300,2),"  (",VLOOKUP(B152,'[1]Rank'!$A$3:$D$300,3),")")),"")</f>
      </c>
      <c r="D152" s="49"/>
      <c r="E152" s="44"/>
      <c r="F152" s="46"/>
      <c r="G152" s="190"/>
      <c r="H152" s="67">
        <f>IF($G$151=117,IF('[1]I.st-výs-KO'!$P121="","",'[1]I.st-výs-KO'!$S121),"")</f>
      </c>
    </row>
    <row r="153" spans="1:8" ht="12.75">
      <c r="A153" s="27"/>
      <c r="B153" s="66"/>
      <c r="C153" s="27"/>
      <c r="D153" s="188">
        <f>IF('[1]copy_before_draw_I_st'!$F$1&gt;64,37,"")</f>
      </c>
      <c r="E153" s="54">
        <f>IF(OR($B152="",$B154=""),IF($B152="",IF($B154="","",'[1]I.st-výs-KO'!$F38),'[1]I.st-výs-KO'!$C38),'[1]I.st-výs-KO'!$Q38)</f>
      </c>
      <c r="F153" s="38"/>
      <c r="G153" s="67"/>
      <c r="H153" s="68"/>
    </row>
    <row r="154" spans="1:8" ht="12.75">
      <c r="A154" s="27">
        <f>IF('[1]copy_before_draw_I_st'!$F$1&gt;64,74,"")</f>
      </c>
      <c r="B154" s="66">
        <f>IF('[1]copy_I.st_KO_afterdraw'!$C$80="","",'[1]copy_I.st_KO_afterdraw'!$C$80)</f>
      </c>
      <c r="C154" s="27">
        <f>IF($A$136=65,IF(B154="","bye",CONCATENATE(VLOOKUP(B154,'[1]Rank'!$A$3:$D$300,2),"  (",VLOOKUP(B154,'[1]Rank'!$A$3:$D$300,3),")")),"")</f>
      </c>
      <c r="D154" s="188"/>
      <c r="E154" s="54">
        <f>IF($B152="","",IF($B154="","",IF('[1]I.st-výs-KO'!$P38="","",'[1]I.st-výs-KO'!$S38)))</f>
      </c>
      <c r="F154" s="38"/>
      <c r="G154" s="67"/>
      <c r="H154" s="68"/>
    </row>
    <row r="155" spans="1:8" ht="12.75">
      <c r="A155" s="27"/>
      <c r="B155" s="66"/>
      <c r="C155" s="27"/>
      <c r="D155" s="51"/>
      <c r="E155" s="189">
        <f>IF('[1]copy_before_draw_I_st'!$F$1&gt;64,83,"")</f>
      </c>
      <c r="F155" s="40">
        <f>IF($E$155=83,IF('[1]I.st-výs-KO'!$Q85="","",'[1]I.st-výs-KO'!$Q85),"")</f>
      </c>
      <c r="G155" s="67"/>
      <c r="H155" s="68"/>
    </row>
    <row r="156" spans="1:8" ht="12.75">
      <c r="A156" s="27">
        <f>IF('[1]copy_before_draw_I_st'!$F$1&gt;64,75,"")</f>
      </c>
      <c r="B156" s="66">
        <f>IF('[1]copy_I.st_KO_afterdraw'!$C$81="","",'[1]copy_I.st_KO_afterdraw'!$C$81)</f>
      </c>
      <c r="C156" s="27">
        <f>IF($A$136=65,IF(B156="","bye",CONCATENATE(VLOOKUP(B156,'[1]Rank'!$A$3:$D$300,2),"  (",VLOOKUP(B156,'[1]Rank'!$A$3:$D$300,3),")")),"")</f>
      </c>
      <c r="D156" s="51"/>
      <c r="E156" s="189"/>
      <c r="F156" s="40">
        <f>IF($E$155=83,IF('[1]I.st-výs-KO'!$P85="","",'[1]I.st-výs-KO'!$S85),"")</f>
      </c>
      <c r="G156" s="67"/>
      <c r="H156" s="68"/>
    </row>
    <row r="157" spans="1:8" ht="12.75">
      <c r="A157" s="27"/>
      <c r="B157" s="66"/>
      <c r="C157" s="27"/>
      <c r="D157" s="188">
        <f>IF('[1]copy_before_draw_I_st'!$F$1&gt;64,38,"")</f>
      </c>
      <c r="E157" s="54">
        <f>IF(OR($B156="",$B158=""),IF($B156="",IF($B158="","",'[1]I.st-výs-KO'!$F39),'[1]I.st-výs-KO'!$C39),'[1]I.st-výs-KO'!$Q39)</f>
      </c>
      <c r="F157" s="38"/>
      <c r="G157" s="67"/>
      <c r="H157" s="68"/>
    </row>
    <row r="158" spans="1:8" ht="12.75">
      <c r="A158" s="27">
        <f>IF('[1]copy_before_draw_I_st'!$F$1&gt;64,76,"")</f>
      </c>
      <c r="B158" s="66">
        <f>IF('[1]copy_I.st_KO_afterdraw'!$C$82="","",'[1]copy_I.st_KO_afterdraw'!$C$82)</f>
      </c>
      <c r="C158" s="38">
        <f>IF($A$136=65,IF(B158="","bye",CONCATENATE(VLOOKUP(B158,'[1]Rank'!$A$3:$D$300,2),"  (",VLOOKUP(B158,'[1]Rank'!$A$3:$D$300,3),")")),"")</f>
      </c>
      <c r="D158" s="188"/>
      <c r="E158" s="54">
        <f>IF($B156="","",IF($B158="","",IF('[1]I.st-výs-KO'!$P39="","",'[1]I.st-výs-KO'!$S39)))</f>
      </c>
      <c r="F158" s="38"/>
      <c r="G158" s="67"/>
      <c r="H158" s="68"/>
    </row>
    <row r="159" spans="1:8" ht="12.75">
      <c r="A159" s="27"/>
      <c r="B159" s="66"/>
      <c r="C159" s="27"/>
      <c r="D159" s="51"/>
      <c r="E159" s="54"/>
      <c r="F159" s="190">
        <f>IF(AND('[1]Turnaj'!$L$10=16,'[1]copy_before_draw_I_st'!$F$1&gt;64),106,IF(AND('[1]Turnaj'!$L$10=8,'[1]copy_before_draw_I_st'!$F$1&gt;64),106,""))</f>
      </c>
      <c r="G159" s="67">
        <f>IF($F$159=106,IF('[1]I.st-výs-KO'!$Q109="","",'[1]I.st-výs-KO'!$Q109),"")</f>
      </c>
      <c r="H159" s="68"/>
    </row>
    <row r="160" spans="1:8" ht="12.75">
      <c r="A160" s="27">
        <f>IF('[1]copy_before_draw_I_st'!$F$1&gt;64,77,"")</f>
      </c>
      <c r="B160" s="66">
        <f>IF('[1]copy_I.st_KO_afterdraw'!$C$83="","",'[1]copy_I.st_KO_afterdraw'!$C$83)</f>
      </c>
      <c r="C160" s="38">
        <f>IF($A$136=65,IF(B160="","bye",CONCATENATE(VLOOKUP(B160,'[1]Rank'!$A$3:$D$300,2),"  (",VLOOKUP(B160,'[1]Rank'!$A$3:$D$300,3),")")),"")</f>
      </c>
      <c r="D160" s="49"/>
      <c r="E160" s="27"/>
      <c r="F160" s="190"/>
      <c r="G160" s="67">
        <f>IF($F$159=106,IF('[1]I.st-výs-KO'!$P109="","",'[1]I.st-výs-KO'!$S109),"")</f>
      </c>
      <c r="H160" s="68"/>
    </row>
    <row r="161" spans="1:8" ht="12.75">
      <c r="A161" s="27"/>
      <c r="B161" s="66"/>
      <c r="C161" s="68"/>
      <c r="D161" s="188">
        <f>IF('[1]copy_before_draw_I_st'!$F$1&gt;64,39,"")</f>
      </c>
      <c r="E161" s="54">
        <f>IF(OR($B160="",$B162=""),IF($B160="",IF($B162="","",'[1]I.st-výs-KO'!$F40),'[1]I.st-výs-KO'!$C40),'[1]I.st-výs-KO'!$Q40)</f>
      </c>
      <c r="F161" s="56"/>
      <c r="G161" s="67"/>
      <c r="H161" s="68"/>
    </row>
    <row r="162" spans="1:8" ht="12.75">
      <c r="A162" s="27">
        <f>IF('[1]copy_before_draw_I_st'!$F$1&gt;64,78,"")</f>
      </c>
      <c r="B162" s="66">
        <f>IF('[1]copy_I.st_KO_afterdraw'!$C$84="","",'[1]copy_I.st_KO_afterdraw'!$C$84)</f>
      </c>
      <c r="C162" s="27">
        <f>IF($A$136=65,IF(B162="","bye",CONCATENATE(VLOOKUP(B162,'[1]Rank'!$A$3:$D$300,2),"  (",VLOOKUP(B162,'[1]Rank'!$A$3:$D$300,3),")")),"")</f>
      </c>
      <c r="D162" s="188"/>
      <c r="E162" s="54">
        <f>IF($B160="","",IF($B162="","",IF('[1]I.st-výs-KO'!$P40="","",'[1]I.st-výs-KO'!$S40)))</f>
      </c>
      <c r="F162" s="56"/>
      <c r="G162" s="67"/>
      <c r="H162" s="68"/>
    </row>
    <row r="163" spans="1:8" ht="12.75">
      <c r="A163" s="27"/>
      <c r="B163" s="66"/>
      <c r="C163" s="27"/>
      <c r="D163" s="49"/>
      <c r="E163" s="189">
        <f>IF('[1]copy_before_draw_I_st'!$F$1&gt;64,84,"")</f>
      </c>
      <c r="F163" s="40">
        <f>IF($E$163=84,IF('[1]I.st-výs-KO'!$Q86="","",'[1]I.st-výs-KO'!$Q86),"")</f>
      </c>
      <c r="G163" s="67"/>
      <c r="H163" s="68"/>
    </row>
    <row r="164" spans="1:8" ht="12.75">
      <c r="A164" s="27">
        <f>IF('[1]copy_before_draw_I_st'!$F$1&gt;64,79,"")</f>
      </c>
      <c r="B164" s="66">
        <f>IF('[1]copy_I.st_KO_afterdraw'!$C$85="","",'[1]copy_I.st_KO_afterdraw'!$C$85)</f>
      </c>
      <c r="C164" s="27">
        <f>IF($A$136=65,IF(B164="","bye",CONCATENATE(VLOOKUP(B164,'[1]Rank'!$A$3:$D$300,2),"  (",VLOOKUP(B164,'[1]Rank'!$A$3:$D$300,3),")")),"")</f>
      </c>
      <c r="D164" s="49"/>
      <c r="E164" s="189"/>
      <c r="F164" s="40">
        <f>IF($E$163=84,IF('[1]I.st-výs-KO'!$P86="","",'[1]I.st-výs-KO'!$S86),"")</f>
      </c>
      <c r="G164" s="67"/>
      <c r="H164" s="68"/>
    </row>
    <row r="165" spans="1:8" ht="12.75">
      <c r="A165" s="27"/>
      <c r="B165" s="66"/>
      <c r="C165" s="27"/>
      <c r="D165" s="188">
        <f>IF('[1]copy_before_draw_I_st'!$F$1&gt;64,40,"")</f>
      </c>
      <c r="E165" s="54">
        <f>IF(OR($B164="",$B166=""),IF($B164="",IF($B166="","",'[1]I.st-výs-KO'!$F41),'[1]I.st-výs-KO'!$C41),'[1]I.st-výs-KO'!$Q41)</f>
      </c>
      <c r="F165" s="56"/>
      <c r="G165" s="67"/>
      <c r="H165" s="68"/>
    </row>
    <row r="166" spans="1:8" ht="12.75">
      <c r="A166" s="27">
        <f>IF('[1]copy_before_draw_I_st'!$F$1&gt;64,80,"")</f>
      </c>
      <c r="B166" s="66">
        <f>IF('[1]copy_I.st_KO_afterdraw'!$C$86="","",'[1]copy_I.st_KO_afterdraw'!$C$86)</f>
      </c>
      <c r="C166" s="38">
        <f>IF($A$136=65,IF(B166="","bye",CONCATENATE(VLOOKUP(B166,'[1]Rank'!$A$3:$D$300,2),"  (",VLOOKUP(B166,'[1]Rank'!$A$3:$D$300,3),")")),"")</f>
      </c>
      <c r="D166" s="188"/>
      <c r="E166" s="54">
        <f>IF($B164="","",IF($B166="","",IF('[1]I.st-výs-KO'!$P41="","",'[1]I.st-výs-KO'!$S41)))</f>
      </c>
      <c r="F166" s="56"/>
      <c r="G166" s="67"/>
      <c r="H166" s="68"/>
    </row>
    <row r="167" spans="1:8" ht="12.75">
      <c r="A167" s="27"/>
      <c r="B167" s="38"/>
      <c r="C167" s="68"/>
      <c r="D167" s="68"/>
      <c r="E167" s="68"/>
      <c r="F167" s="56"/>
      <c r="G167" s="67"/>
      <c r="H167" s="68"/>
    </row>
    <row r="168" spans="1:8" ht="12.75">
      <c r="A168" s="27">
        <f>IF('[1]copy_before_draw_I_st'!$F$1&gt;64,81,"")</f>
      </c>
      <c r="B168" s="66">
        <f>IF('[1]copy_I.st_KO_afterdraw'!$C$87="","",'[1]copy_I.st_KO_afterdraw'!$C$87)</f>
      </c>
      <c r="C168" s="38">
        <f>IF($A$136=65,IF(B168="","bye",CONCATENATE(VLOOKUP(B168,'[1]Rank'!$A$3:$D$300,2),"  (",VLOOKUP(B168,'[1]Rank'!$A$3:$D$300,3),")")),"")</f>
      </c>
      <c r="D168" s="49"/>
      <c r="E168" s="68"/>
      <c r="F168" s="46"/>
      <c r="G168" s="67"/>
      <c r="H168" s="68"/>
    </row>
    <row r="169" spans="1:8" ht="12.75">
      <c r="A169" s="27"/>
      <c r="B169" s="38"/>
      <c r="C169" s="68"/>
      <c r="D169" s="188">
        <f>IF('[1]copy_before_draw_I_st'!$F$1&gt;64,41,"")</f>
      </c>
      <c r="E169" s="54">
        <f>IF(OR($B168="",$B170=""),IF($B168="",IF($B170="","",'[1]I.st-výs-KO'!$F42),'[1]I.st-výs-KO'!$C42),'[1]I.st-výs-KO'!$Q42)</f>
      </c>
      <c r="F169" s="46"/>
      <c r="G169" s="67"/>
      <c r="H169" s="68"/>
    </row>
    <row r="170" spans="1:8" ht="12.75">
      <c r="A170" s="27">
        <f>IF('[1]copy_before_draw_I_st'!$F$1&gt;64,82,"")</f>
      </c>
      <c r="B170" s="66">
        <f>IF('[1]copy_I.st_KO_afterdraw'!$C$88="","",'[1]copy_I.st_KO_afterdraw'!$C$88)</f>
      </c>
      <c r="C170" s="27">
        <f>IF($A$136=65,IF(B170="","bye",CONCATENATE(VLOOKUP(B170,'[1]Rank'!$A$3:$D$300,2),"  (",VLOOKUP(B170,'[1]Rank'!$A$3:$D$300,3),")")),"")</f>
      </c>
      <c r="D170" s="188"/>
      <c r="E170" s="54">
        <f>IF($B168="","",IF($B170="","",IF('[1]I.st-výs-KO'!$P42="","",'[1]I.st-výs-KO'!$S42)))</f>
      </c>
      <c r="F170" s="56"/>
      <c r="G170" s="67"/>
      <c r="H170" s="68"/>
    </row>
    <row r="171" spans="1:8" ht="12.75">
      <c r="A171" s="27"/>
      <c r="B171" s="38"/>
      <c r="C171" s="68"/>
      <c r="D171" s="68"/>
      <c r="E171" s="189">
        <f>IF('[1]copy_before_draw_I_st'!$F$1&gt;64,85,"")</f>
      </c>
      <c r="F171" s="40">
        <f>IF($E$171=85,IF('[1]I.st-výs-KO'!$Q87="","",'[1]I.st-výs-KO'!$Q87),"")</f>
      </c>
      <c r="G171" s="67"/>
      <c r="H171" s="68"/>
    </row>
    <row r="172" spans="1:8" ht="12.75">
      <c r="A172" s="27">
        <f>IF('[1]copy_before_draw_I_st'!$F$1&gt;64,83,"")</f>
      </c>
      <c r="B172" s="66">
        <f>IF('[1]copy_I.st_KO_afterdraw'!$C$89="","",'[1]copy_I.st_KO_afterdraw'!$C$89)</f>
      </c>
      <c r="C172" s="27">
        <f>IF($A$136=65,IF(B172="","bye",CONCATENATE(VLOOKUP(B172,'[1]Rank'!$A$3:$D$300,2),"  (",VLOOKUP(B172,'[1]Rank'!$A$3:$D$300,3),")")),"")</f>
      </c>
      <c r="D172" s="51"/>
      <c r="E172" s="189"/>
      <c r="F172" s="40">
        <f>IF($E$171=85,IF('[1]I.st-výs-KO'!$P87="","",'[1]I.st-výs-KO'!$S87),"")</f>
      </c>
      <c r="G172" s="67"/>
      <c r="H172" s="68"/>
    </row>
    <row r="173" spans="1:8" ht="12.75">
      <c r="A173" s="27"/>
      <c r="B173" s="38"/>
      <c r="C173" s="27"/>
      <c r="D173" s="188">
        <f>IF('[1]copy_before_draw_I_st'!$F$1&gt;64,42,"")</f>
      </c>
      <c r="E173" s="54">
        <f>IF(OR($B172="",$B174=""),IF($B172="",IF($B174="","",'[1]I.st-výs-KO'!$F43),'[1]I.st-výs-KO'!$C43),'[1]I.st-výs-KO'!$Q43)</f>
      </c>
      <c r="F173" s="56"/>
      <c r="G173" s="67"/>
      <c r="H173" s="68"/>
    </row>
    <row r="174" spans="1:8" ht="12.75">
      <c r="A174" s="27">
        <f>IF('[1]copy_before_draw_I_st'!$F$1&gt;64,84,"")</f>
      </c>
      <c r="B174" s="66">
        <f>IF('[1]copy_I.st_KO_afterdraw'!$C$90="","",'[1]copy_I.st_KO_afterdraw'!$C$90)</f>
      </c>
      <c r="C174" s="38">
        <f>IF($A$136=65,IF(B174="","bye",CONCATENATE(VLOOKUP(B174,'[1]Rank'!$A$3:$D$300,2),"  (",VLOOKUP(B174,'[1]Rank'!$A$3:$D$300,3),")")),"")</f>
      </c>
      <c r="D174" s="188"/>
      <c r="E174" s="54">
        <f>IF($B172="","",IF($B174="","",IF('[1]I.st-výs-KO'!$P43="","",'[1]I.st-výs-KO'!$S43)))</f>
      </c>
      <c r="F174" s="56"/>
      <c r="G174" s="67"/>
      <c r="H174" s="68"/>
    </row>
    <row r="175" spans="1:8" ht="12.75">
      <c r="A175" s="27"/>
      <c r="B175" s="38"/>
      <c r="C175" s="27"/>
      <c r="D175" s="51"/>
      <c r="E175" s="27"/>
      <c r="F175" s="190">
        <f>IF(AND('[1]Turnaj'!$L$10=16,'[1]copy_before_draw_I_st'!$F$1&gt;64),107,IF(AND('[1]Turnaj'!$L$10=8,'[1]copy_before_draw_I_st'!$F$1&gt;64),107,""))</f>
      </c>
      <c r="G175" s="67">
        <f>IF($F$175=107,IF('[1]I.st-výs-KO'!$Q110="","",'[1]I.st-výs-KO'!$Q110),"")</f>
      </c>
      <c r="H175" s="68"/>
    </row>
    <row r="176" spans="1:8" ht="12.75">
      <c r="A176" s="27">
        <f>IF('[1]copy_before_draw_I_st'!$F$1&gt;64,85,"")</f>
      </c>
      <c r="B176" s="66">
        <f>IF('[1]copy_I.st_KO_afterdraw'!$C$91="","",'[1]copy_I.st_KO_afterdraw'!$C$91)</f>
      </c>
      <c r="C176" s="38">
        <f>IF($A$136=65,IF(B176="","bye",CONCATENATE(VLOOKUP(B176,'[1]Rank'!$A$3:$D$300,2),"  (",VLOOKUP(B176,'[1]Rank'!$A$3:$D$300,3),")")),"")</f>
      </c>
      <c r="D176" s="51"/>
      <c r="E176" s="27"/>
      <c r="F176" s="190"/>
      <c r="G176" s="67">
        <f>IF($F$175=107,IF('[1]I.st-výs-KO'!$P110="","",'[1]I.st-výs-KO'!$S110),"")</f>
      </c>
      <c r="H176" s="68"/>
    </row>
    <row r="177" spans="1:8" ht="12.75">
      <c r="A177" s="27"/>
      <c r="B177" s="38"/>
      <c r="C177" s="27"/>
      <c r="D177" s="188">
        <f>IF('[1]copy_before_draw_I_st'!$F$1&gt;64,43,"")</f>
      </c>
      <c r="E177" s="54">
        <f>IF(OR($B176="",$B178=""),IF($B176="",IF($B178="","",'[1]I.st-výs-KO'!$F44),'[1]I.st-výs-KO'!$C44),'[1]I.st-výs-KO'!$Q44)</f>
      </c>
      <c r="F177" s="56"/>
      <c r="G177" s="67"/>
      <c r="H177" s="68"/>
    </row>
    <row r="178" spans="1:8" ht="12.75">
      <c r="A178" s="27">
        <f>IF('[1]copy_before_draw_I_st'!$F$1&gt;64,86,"")</f>
      </c>
      <c r="B178" s="66">
        <f>IF('[1]copy_I.st_KO_afterdraw'!$C$92="","",'[1]copy_I.st_KO_afterdraw'!$C$92)</f>
      </c>
      <c r="C178" s="27">
        <f>IF($A$136=65,IF(B178="","bye",CONCATENATE(VLOOKUP(B178,'[1]Rank'!$A$3:$D$300,2),"  (",VLOOKUP(B178,'[1]Rank'!$A$3:$D$300,3),")")),"")</f>
      </c>
      <c r="D178" s="188"/>
      <c r="E178" s="54">
        <f>IF($B176="","",IF($B178="","",IF('[1]I.st-výs-KO'!$P44="","",'[1]I.st-výs-KO'!$S44)))</f>
      </c>
      <c r="F178" s="56"/>
      <c r="G178" s="67"/>
      <c r="H178" s="68"/>
    </row>
    <row r="179" spans="1:8" ht="12.75">
      <c r="A179" s="27"/>
      <c r="B179" s="38"/>
      <c r="C179" s="27"/>
      <c r="D179" s="51"/>
      <c r="E179" s="189">
        <f>IF('[1]copy_before_draw_I_st'!$F$1&gt;64,86,"")</f>
      </c>
      <c r="F179" s="40">
        <f>IF($E$179=86,IF('[1]I.st-výs-KO'!$Q88="","",'[1]I.st-výs-KO'!$Q88),"")</f>
      </c>
      <c r="G179" s="67"/>
      <c r="H179" s="68"/>
    </row>
    <row r="180" spans="1:8" ht="12.75">
      <c r="A180" s="27">
        <f>IF('[1]copy_before_draw_I_st'!$F$1&gt;64,87,"")</f>
      </c>
      <c r="B180" s="66">
        <f>IF('[1]copy_I.st_KO_afterdraw'!$C$93="","",'[1]copy_I.st_KO_afterdraw'!$C$93)</f>
      </c>
      <c r="C180" s="27">
        <f>IF($A$136=65,IF(B180="","bye",CONCATENATE(VLOOKUP(B180,'[1]Rank'!$A$3:$D$300,2),"  (",VLOOKUP(B180,'[1]Rank'!$A$3:$D$300,3),")")),"")</f>
      </c>
      <c r="D180" s="51"/>
      <c r="E180" s="189"/>
      <c r="F180" s="40">
        <f>IF($E$179=86,IF('[1]I.st-výs-KO'!$P88="","",'[1]I.st-výs-KO'!$S88),"")</f>
      </c>
      <c r="G180" s="67"/>
      <c r="H180" s="68"/>
    </row>
    <row r="181" spans="1:8" ht="12.75">
      <c r="A181" s="27"/>
      <c r="B181" s="38"/>
      <c r="C181" s="27"/>
      <c r="D181" s="188">
        <f>IF('[1]copy_before_draw_I_st'!$F$1&gt;64,44,"")</f>
      </c>
      <c r="E181" s="54">
        <f>IF(OR($B180="",$B182=""),IF($B180="",IF($B182="","",'[1]I.st-výs-KO'!$F45),'[1]I.st-výs-KO'!$C45),'[1]I.st-výs-KO'!$Q45)</f>
      </c>
      <c r="F181" s="56"/>
      <c r="G181" s="67"/>
      <c r="H181" s="68"/>
    </row>
    <row r="182" spans="1:8" ht="12.75">
      <c r="A182" s="27">
        <f>IF('[1]copy_before_draw_I_st'!$F$1&gt;64,88,"")</f>
      </c>
      <c r="B182" s="66">
        <f>IF('[1]copy_I.st_KO_afterdraw'!$C$94="","",'[1]copy_I.st_KO_afterdraw'!$C$94)</f>
      </c>
      <c r="C182" s="38">
        <f>IF($A$136=65,IF(B182="","bye",CONCATENATE(VLOOKUP(B182,'[1]Rank'!$A$3:$D$300,2),"  (",VLOOKUP(B182,'[1]Rank'!$A$3:$D$300,3),")")),"")</f>
      </c>
      <c r="D182" s="188"/>
      <c r="E182" s="54">
        <f>IF($B180="","",IF($B182="","",IF('[1]I.st-výs-KO'!$P45="","",'[1]I.st-výs-KO'!$S45)))</f>
      </c>
      <c r="F182" s="56"/>
      <c r="G182" s="67"/>
      <c r="H182" s="68"/>
    </row>
    <row r="183" spans="1:8" ht="12.75">
      <c r="A183" s="27"/>
      <c r="B183" s="38"/>
      <c r="C183" s="27"/>
      <c r="D183" s="51"/>
      <c r="E183" s="27"/>
      <c r="F183" s="56"/>
      <c r="G183" s="190">
        <f>IF(AND('[1]Turnaj'!$L$10=8,'[1]copy_before_draw_I_st'!$F$1&gt;64),118,"")</f>
      </c>
      <c r="H183" s="67">
        <f>IF($G$183=118,IF('[1]I.st-výs-KO'!$Q122="","",'[1]I.st-výs-KO'!$Q122),"")</f>
      </c>
    </row>
    <row r="184" spans="1:8" ht="12.75">
      <c r="A184" s="27">
        <f>IF('[1]copy_before_draw_I_st'!$F$1&gt;64,89,"")</f>
      </c>
      <c r="B184" s="66">
        <f>IF('[1]copy_I.st_KO_afterdraw'!$C$95="","",'[1]copy_I.st_KO_afterdraw'!$C$95)</f>
      </c>
      <c r="C184" s="38">
        <f>IF($A$136=65,IF(B184="","bye",CONCATENATE(VLOOKUP(B184,'[1]Rank'!$A$3:$D$300,2),"  (",VLOOKUP(B184,'[1]Rank'!$A$3:$D$300,3),")")),"")</f>
      </c>
      <c r="D184" s="51"/>
      <c r="E184" s="27"/>
      <c r="F184" s="56"/>
      <c r="G184" s="190"/>
      <c r="H184" s="67">
        <f>IF($G$183=118,IF('[1]I.st-výs-KO'!$P122="","",'[1]I.st-výs-KO'!$S122),"")</f>
      </c>
    </row>
    <row r="185" spans="1:8" ht="12.75">
      <c r="A185" s="27"/>
      <c r="B185" s="38"/>
      <c r="C185" s="27"/>
      <c r="D185" s="188">
        <f>IF('[1]copy_before_draw_I_st'!$F$1&gt;64,45,"")</f>
      </c>
      <c r="E185" s="54">
        <f>IF(OR($B184="",$B186=""),IF($B184="",IF($B186="","",'[1]I.st-výs-KO'!$F46),'[1]I.st-výs-KO'!$C46),'[1]I.st-výs-KO'!$Q46)</f>
      </c>
      <c r="F185" s="56"/>
      <c r="G185" s="67"/>
      <c r="H185" s="68"/>
    </row>
    <row r="186" spans="1:8" ht="12.75">
      <c r="A186" s="27">
        <f>IF('[1]copy_before_draw_I_st'!$F$1&gt;64,90,"")</f>
      </c>
      <c r="B186" s="66">
        <f>IF('[1]copy_I.st_KO_afterdraw'!$C$96="","",'[1]copy_I.st_KO_afterdraw'!$C$96)</f>
      </c>
      <c r="C186" s="27">
        <f>IF($A$136=65,IF(B186="","bye",CONCATENATE(VLOOKUP(B186,'[1]Rank'!$A$3:$D$300,2),"  (",VLOOKUP(B186,'[1]Rank'!$A$3:$D$300,3),")")),"")</f>
      </c>
      <c r="D186" s="188"/>
      <c r="E186" s="54">
        <f>IF($B184="","",IF($B186="","",IF('[1]I.st-výs-KO'!$P46="","",'[1]I.st-výs-KO'!$S46)))</f>
      </c>
      <c r="F186" s="56"/>
      <c r="G186" s="67"/>
      <c r="H186" s="68"/>
    </row>
    <row r="187" spans="1:8" ht="12.75">
      <c r="A187" s="27"/>
      <c r="B187" s="38"/>
      <c r="C187" s="27"/>
      <c r="D187" s="51"/>
      <c r="E187" s="189">
        <f>IF('[1]copy_before_draw_I_st'!$F$1&gt;64,87,"")</f>
      </c>
      <c r="F187" s="40">
        <f>IF($E$187=87,IF('[1]I.st-výs-KO'!$Q89="","",'[1]I.st-výs-KO'!$Q89),"")</f>
      </c>
      <c r="G187" s="67"/>
      <c r="H187" s="68"/>
    </row>
    <row r="188" spans="1:8" ht="12.75">
      <c r="A188" s="27">
        <f>IF('[1]copy_before_draw_I_st'!$F$1&gt;64,91,"")</f>
      </c>
      <c r="B188" s="66">
        <f>IF('[1]copy_I.st_KO_afterdraw'!$C$97="","",'[1]copy_I.st_KO_afterdraw'!$C$97)</f>
      </c>
      <c r="C188" s="27">
        <f>IF($A$136=65,IF(B188="","bye",CONCATENATE(VLOOKUP(B188,'[1]Rank'!$A$3:$D$300,2),"  (",VLOOKUP(B188,'[1]Rank'!$A$3:$D$300,3),")")),"")</f>
      </c>
      <c r="D188" s="51"/>
      <c r="E188" s="189"/>
      <c r="F188" s="40">
        <f>IF($E$187=87,IF('[1]I.st-výs-KO'!$P89="","",'[1]I.st-výs-KO'!$S89),"")</f>
      </c>
      <c r="G188" s="67"/>
      <c r="H188" s="68"/>
    </row>
    <row r="189" spans="1:8" ht="12.75">
      <c r="A189" s="27"/>
      <c r="B189" s="38"/>
      <c r="C189" s="27"/>
      <c r="D189" s="188">
        <f>IF('[1]copy_before_draw_I_st'!$F$1&gt;64,46,"")</f>
      </c>
      <c r="E189" s="54">
        <f>IF(OR($B188="",$B190=""),IF($B188="",IF($B190="","",'[1]I.st-výs-KO'!$F47),'[1]I.st-výs-KO'!$C47),'[1]I.st-výs-KO'!$Q47)</f>
      </c>
      <c r="F189" s="56"/>
      <c r="G189" s="67"/>
      <c r="H189" s="68"/>
    </row>
    <row r="190" spans="1:8" ht="12.75">
      <c r="A190" s="27">
        <f>IF('[1]copy_before_draw_I_st'!$F$1&gt;64,92,"")</f>
      </c>
      <c r="B190" s="66">
        <f>IF('[1]copy_I.st_KO_afterdraw'!$C$98="","",'[1]copy_I.st_KO_afterdraw'!$C$98)</f>
      </c>
      <c r="C190" s="38">
        <f>IF($A$136=65,IF(B190="","bye",CONCATENATE(VLOOKUP(B190,'[1]Rank'!$A$3:$D$300,2),"  (",VLOOKUP(B190,'[1]Rank'!$A$3:$D$300,3),")")),"")</f>
      </c>
      <c r="D190" s="188"/>
      <c r="E190" s="54">
        <f>IF($B188="","",IF($B190="","",IF('[1]I.st-výs-KO'!$P47="","",'[1]I.st-výs-KO'!$S47)))</f>
      </c>
      <c r="F190" s="56"/>
      <c r="G190" s="67"/>
      <c r="H190" s="68"/>
    </row>
    <row r="191" spans="1:8" ht="12.75">
      <c r="A191" s="27"/>
      <c r="B191" s="38"/>
      <c r="C191" s="27"/>
      <c r="D191" s="51"/>
      <c r="E191" s="27"/>
      <c r="F191" s="190">
        <f>IF(AND('[1]Turnaj'!$L$10=16,'[1]copy_before_draw_I_st'!$F$1&gt;64),108,IF(AND('[1]Turnaj'!$L$10=8,'[1]copy_before_draw_I_st'!$F$1&gt;64),108,""))</f>
      </c>
      <c r="G191" s="67">
        <f>IF($F$191=108,IF('[1]I.st-výs-KO'!$Q111="","",'[1]I.st-výs-KO'!$Q111),"")</f>
      </c>
      <c r="H191" s="68"/>
    </row>
    <row r="192" spans="1:8" ht="12.75">
      <c r="A192" s="27">
        <f>IF('[1]copy_before_draw_I_st'!$F$1&gt;64,93,"")</f>
      </c>
      <c r="B192" s="66">
        <f>IF('[1]copy_I.st_KO_afterdraw'!$C$99="","",'[1]copy_I.st_KO_afterdraw'!$C$99)</f>
      </c>
      <c r="C192" s="38">
        <f>IF($A$136=65,IF(B192="","bye",CONCATENATE(VLOOKUP(B192,'[1]Rank'!$A$3:$D$300,2),"  (",VLOOKUP(B192,'[1]Rank'!$A$3:$D$300,3),")")),"")</f>
      </c>
      <c r="D192" s="51"/>
      <c r="E192" s="27"/>
      <c r="F192" s="190"/>
      <c r="G192" s="67">
        <f>IF($F$191=108,IF('[1]I.st-výs-KO'!$P111="","",'[1]I.st-výs-KO'!$S111),"")</f>
      </c>
      <c r="H192" s="68"/>
    </row>
    <row r="193" spans="1:8" ht="12.75">
      <c r="A193" s="27"/>
      <c r="B193" s="38"/>
      <c r="C193" s="27"/>
      <c r="D193" s="188">
        <f>IF('[1]copy_before_draw_I_st'!$F$1&gt;64,47,"")</f>
      </c>
      <c r="E193" s="54">
        <f>IF(OR($B192="",$B194=""),IF($B192="",IF($B194="","",'[1]I.st-výs-KO'!$F48),'[1]I.st-výs-KO'!$C48),'[1]I.st-výs-KO'!$Q48)</f>
      </c>
      <c r="F193" s="56"/>
      <c r="G193" s="67"/>
      <c r="H193" s="68"/>
    </row>
    <row r="194" spans="1:8" ht="12.75">
      <c r="A194" s="27">
        <f>IF('[1]copy_before_draw_I_st'!$F$1&gt;64,94,"")</f>
      </c>
      <c r="B194" s="66">
        <f>IF('[1]copy_I.st_KO_afterdraw'!$C$100="","",'[1]copy_I.st_KO_afterdraw'!$C$100)</f>
      </c>
      <c r="C194" s="27">
        <f>IF($A$136=65,IF(B194="","bye",CONCATENATE(VLOOKUP(B194,'[1]Rank'!$A$3:$D$300,2),"  (",VLOOKUP(B194,'[1]Rank'!$A$3:$D$300,3),")")),"")</f>
      </c>
      <c r="D194" s="188"/>
      <c r="E194" s="54">
        <f>IF($B192="","",IF($B194="","",IF('[1]I.st-výs-KO'!$P48="","",'[1]I.st-výs-KO'!$S48)))</f>
      </c>
      <c r="F194" s="56"/>
      <c r="G194" s="67"/>
      <c r="H194" s="68"/>
    </row>
    <row r="195" spans="1:8" ht="12.75">
      <c r="A195" s="27"/>
      <c r="B195" s="38"/>
      <c r="C195" s="27"/>
      <c r="D195" s="51"/>
      <c r="E195" s="189">
        <f>IF('[1]copy_before_draw_I_st'!$F$1&gt;64,88,"")</f>
      </c>
      <c r="F195" s="40">
        <f>IF($E$195=88,IF('[1]I.st-výs-KO'!$Q90="","",'[1]I.st-výs-KO'!$Q90),"")</f>
      </c>
      <c r="G195" s="67"/>
      <c r="H195" s="68"/>
    </row>
    <row r="196" spans="1:8" ht="12.75">
      <c r="A196" s="27">
        <f>IF('[1]copy_before_draw_I_st'!$F$1&gt;64,95,"")</f>
      </c>
      <c r="B196" s="66">
        <f>IF('[1]copy_I.st_KO_afterdraw'!$C$101="","",'[1]copy_I.st_KO_afterdraw'!$C$101)</f>
      </c>
      <c r="C196" s="27">
        <f>IF($A$136=65,IF(B196="","bye",CONCATENATE(VLOOKUP(B196,'[1]Rank'!$A$3:$D$300,2),"  (",VLOOKUP(B196,'[1]Rank'!$A$3:$D$300,3),")")),"")</f>
      </c>
      <c r="D196" s="51"/>
      <c r="E196" s="189"/>
      <c r="F196" s="40">
        <f>IF($E$195=88,IF('[1]I.st-výs-KO'!$P90="","",'[1]I.st-výs-KO'!$S90),"")</f>
      </c>
      <c r="G196" s="67"/>
      <c r="H196" s="68"/>
    </row>
    <row r="197" spans="1:8" ht="12.75">
      <c r="A197" s="27"/>
      <c r="B197" s="38"/>
      <c r="C197" s="27"/>
      <c r="D197" s="188">
        <f>IF('[1]copy_before_draw_I_st'!$F$1&gt;64,48,"")</f>
      </c>
      <c r="E197" s="54">
        <f>IF(OR($B196="",$B198=""),IF($B196="",IF($B198="","",'[1]I.st-výs-KO'!$F49),'[1]I.st-výs-KO'!$C49),'[1]I.st-výs-KO'!$Q49)</f>
      </c>
      <c r="F197" s="56"/>
      <c r="G197" s="67"/>
      <c r="H197" s="68"/>
    </row>
    <row r="198" spans="1:6" ht="12.75">
      <c r="A198" s="27">
        <f>IF('[1]copy_before_draw_I_st'!$F$1&gt;64,96,"")</f>
      </c>
      <c r="B198" s="66">
        <f>IF('[1]copy_I.st_KO_afterdraw'!$C$102="","",'[1]copy_I.st_KO_afterdraw'!$C$102)</f>
      </c>
      <c r="C198" s="38">
        <f>IF($A$136=65,IF(B198="","bye",CONCATENATE(VLOOKUP(B198,'[1]Rank'!$A$3:$D$300,2),"  (",VLOOKUP(B198,'[1]Rank'!$A$3:$D$300,3),")")),"")</f>
      </c>
      <c r="D198" s="188"/>
      <c r="E198" s="54">
        <f>IF($B196="","",IF($B198="","",IF('[1]I.st-výs-KO'!$P49="","",'[1]I.st-výs-KO'!$S49)))</f>
      </c>
      <c r="F198" s="56"/>
    </row>
    <row r="199" spans="1:8" ht="25.5">
      <c r="A199" s="191">
        <f>IF($A$136=65,$A$1,"")</f>
      </c>
      <c r="B199" s="191"/>
      <c r="C199" s="191"/>
      <c r="D199" s="191"/>
      <c r="E199" s="191"/>
      <c r="F199" s="191"/>
      <c r="G199" s="191"/>
      <c r="H199" s="191"/>
    </row>
    <row r="200" spans="1:8" ht="18.75">
      <c r="A200" s="192">
        <f>IF($A$136=65,CONCATENATE("Dvouhra"," ",'[1]Turnaj'!$F$6," - ","I. stupeň"),"")</f>
      </c>
      <c r="B200" s="192"/>
      <c r="C200" s="192"/>
      <c r="D200" s="192"/>
      <c r="E200" s="192"/>
      <c r="F200" s="192"/>
      <c r="G200" s="192"/>
      <c r="H200" s="192"/>
    </row>
    <row r="201" spans="3:8" ht="15.75">
      <c r="C201" s="22"/>
      <c r="D201" s="24"/>
      <c r="F201" s="61"/>
      <c r="H201" s="61">
        <f>IF($A$136=65,$G$3,"")</f>
      </c>
    </row>
    <row r="202" spans="1:8" ht="15.75">
      <c r="A202" s="27">
        <f>IF('[1]copy_before_draw_I_st'!$F$1&gt;64,97,"")</f>
      </c>
      <c r="B202" s="66">
        <f>IF('[1]copy_I.st_KO_afterdraw'!$C$103="","",'[1]copy_I.st_KO_afterdraw'!$C$103)</f>
      </c>
      <c r="C202" s="38">
        <f>IF($A$202=97,IF(B202="","bye",CONCATENATE(VLOOKUP(B202,'[1]Rank'!$A$3:$D$300,2),"  (",VLOOKUP(B202,'[1]Rank'!$A$3:$D$300,3),")")),"")</f>
      </c>
      <c r="D202" s="27"/>
      <c r="E202" s="27"/>
      <c r="F202" s="38"/>
      <c r="H202" s="31">
        <f>IF($A$202=97,"Stránka 4","")</f>
      </c>
    </row>
    <row r="203" spans="1:6" ht="12.75">
      <c r="A203" s="27"/>
      <c r="C203" s="27"/>
      <c r="D203" s="188">
        <f>IF('[1]copy_before_draw_I_st'!$F$1&gt;64,49,"")</f>
      </c>
      <c r="E203" s="54">
        <f>IF(OR($B202="",$B204=""),IF($B202="",IF($B204="","",'[1]I.st-výs-KO'!$F50),'[1]I.st-výs-KO'!$C50),'[1]I.st-výs-KO'!$Q50)</f>
      </c>
      <c r="F203" s="38"/>
    </row>
    <row r="204" spans="1:8" ht="12.75">
      <c r="A204" s="27">
        <f>IF('[1]copy_before_draw_I_st'!$F$1&gt;64,98,"")</f>
      </c>
      <c r="B204" s="66">
        <f>IF('[1]copy_I.st_KO_afterdraw'!$C$104="","",'[1]copy_I.st_KO_afterdraw'!$C$104)</f>
      </c>
      <c r="C204" s="27">
        <f>IF($A$202=97,IF(B204="","bye",CONCATENATE(VLOOKUP(B204,'[1]Rank'!$A$3:$D$300,2),"  (",VLOOKUP(B204,'[1]Rank'!$A$3:$D$300,3),")")),"")</f>
      </c>
      <c r="D204" s="188"/>
      <c r="E204" s="54">
        <f>IF($B202="","",IF($B204="","",IF('[1]I.st-výs-KO'!$P50="","",'[1]I.st-výs-KO'!$S50)))</f>
      </c>
      <c r="F204" s="38"/>
      <c r="H204" s="30"/>
    </row>
    <row r="205" spans="1:8" ht="12.75">
      <c r="A205" s="27"/>
      <c r="C205" s="27"/>
      <c r="D205" s="49"/>
      <c r="E205" s="189">
        <f>IF('[1]copy_before_draw_I_st'!$F$1&gt;64,89,"")</f>
      </c>
      <c r="F205" s="40">
        <f>IF($E$205=89,IF('[1]I.st-výs-KO'!$Q91="","",'[1]I.st-výs-KO'!$Q91),"")</f>
      </c>
      <c r="G205" s="67"/>
      <c r="H205" s="68"/>
    </row>
    <row r="206" spans="1:8" ht="12.75">
      <c r="A206" s="27">
        <f>IF('[1]copy_before_draw_I_st'!$F$1&gt;64,99,"")</f>
      </c>
      <c r="B206" s="66">
        <f>IF('[1]copy_I.st_KO_afterdraw'!$C$105="","",'[1]copy_I.st_KO_afterdraw'!$C$105)</f>
      </c>
      <c r="C206" s="27">
        <f>IF($A$202=97,IF(B206="","bye",CONCATENATE(VLOOKUP(B206,'[1]Rank'!$A$3:$D$300,2),"  (",VLOOKUP(B206,'[1]Rank'!$A$3:$D$300,3),")")),"")</f>
      </c>
      <c r="D206" s="49"/>
      <c r="E206" s="189"/>
      <c r="F206" s="40">
        <f>IF($E$205=89,IF('[1]I.st-výs-KO'!$P91="","",'[1]I.st-výs-KO'!$S91),"")</f>
      </c>
      <c r="G206" s="67"/>
      <c r="H206" s="68"/>
    </row>
    <row r="207" spans="1:8" ht="12.75">
      <c r="A207" s="27"/>
      <c r="C207" s="27"/>
      <c r="D207" s="188">
        <f>IF('[1]copy_before_draw_I_st'!$F$1&gt;64,50,"")</f>
      </c>
      <c r="E207" s="54">
        <f>IF(OR($B206="",$B208=""),IF($B206="",IF($B208="","",'[1]I.st-výs-KO'!$F51),'[1]I.st-výs-KO'!$C51),'[1]I.st-výs-KO'!$Q51)</f>
      </c>
      <c r="F207" s="40"/>
      <c r="G207" s="67"/>
      <c r="H207" s="68"/>
    </row>
    <row r="208" spans="1:8" ht="12.75">
      <c r="A208" s="27">
        <f>IF('[1]copy_before_draw_I_st'!$F$1&gt;64,100,"")</f>
      </c>
      <c r="B208" s="66">
        <f>IF('[1]copy_I.st_KO_afterdraw'!$C$106="","",'[1]copy_I.st_KO_afterdraw'!$C$106)</f>
      </c>
      <c r="C208" s="38">
        <f>IF($A$202=97,IF(B208="","bye",CONCATENATE(VLOOKUP(B208,'[1]Rank'!$A$3:$D$300,2),"  (",VLOOKUP(B208,'[1]Rank'!$A$3:$D$300,3),")")),"")</f>
      </c>
      <c r="D208" s="188"/>
      <c r="E208" s="54">
        <f>IF($B206="","",IF($B208="","",IF('[1]I.st-výs-KO'!$P51="","",'[1]I.st-výs-KO'!$S51)))</f>
      </c>
      <c r="F208" s="40"/>
      <c r="G208" s="67"/>
      <c r="H208" s="68"/>
    </row>
    <row r="209" spans="1:8" ht="12.75">
      <c r="A209" s="27"/>
      <c r="C209" s="27"/>
      <c r="D209" s="49"/>
      <c r="E209" s="44"/>
      <c r="F209" s="190">
        <f>IF(AND('[1]Turnaj'!$L$10=16,'[1]copy_before_draw_I_st'!$F$1&gt;64),109,IF(AND('[1]Turnaj'!$L$10=8,'[1]copy_before_draw_I_st'!$F$1&gt;64),109,""))</f>
      </c>
      <c r="G209" s="67">
        <f>IF($F$209=109,IF('[1]I.st-výs-KO'!$Q112="","",'[1]I.st-výs-KO'!$Q112),"")</f>
      </c>
      <c r="H209" s="68"/>
    </row>
    <row r="210" spans="1:8" ht="12.75">
      <c r="A210" s="27">
        <f>IF('[1]copy_before_draw_I_st'!$F$1&gt;64,101,"")</f>
      </c>
      <c r="B210" s="66">
        <f>IF('[1]copy_I.st_KO_afterdraw'!$C$107="","",'[1]copy_I.st_KO_afterdraw'!$C$107)</f>
      </c>
      <c r="C210" s="38">
        <f>IF($A$202=97,IF(B210="","bye",CONCATENATE(VLOOKUP(B210,'[1]Rank'!$A$3:$D$300,2),"  (",VLOOKUP(B210,'[1]Rank'!$A$3:$D$300,3),")")),"")</f>
      </c>
      <c r="D210" s="49"/>
      <c r="E210" s="44"/>
      <c r="F210" s="190"/>
      <c r="G210" s="67">
        <f>IF($F$209=109,IF('[1]I.st-výs-KO'!$P112="","",'[1]I.st-výs-KO'!$S112),"")</f>
      </c>
      <c r="H210" s="68"/>
    </row>
    <row r="211" spans="1:8" ht="12.75">
      <c r="A211" s="27"/>
      <c r="C211" s="27"/>
      <c r="D211" s="188">
        <f>IF('[1]copy_before_draw_I_st'!$F$1&gt;64,51,"")</f>
      </c>
      <c r="E211" s="54">
        <f>IF(OR($B210="",$B212=""),IF($B210="",IF($B212="","",'[1]I.st-výs-KO'!$F52),'[1]I.st-výs-KO'!$C52),'[1]I.st-výs-KO'!$Q52)</f>
      </c>
      <c r="F211" s="40"/>
      <c r="G211" s="67"/>
      <c r="H211" s="68"/>
    </row>
    <row r="212" spans="1:8" ht="12.75">
      <c r="A212" s="27">
        <f>IF('[1]copy_before_draw_I_st'!$F$1&gt;64,102,"")</f>
      </c>
      <c r="B212" s="66">
        <f>IF('[1]copy_I.st_KO_afterdraw'!$C$108="","",'[1]copy_I.st_KO_afterdraw'!$C$108)</f>
      </c>
      <c r="C212" s="27">
        <f>IF($A$202=97,IF(B212="","bye",CONCATENATE(VLOOKUP(B212,'[1]Rank'!$A$3:$D$300,2),"  (",VLOOKUP(B212,'[1]Rank'!$A$3:$D$300,3),")")),"")</f>
      </c>
      <c r="D212" s="188"/>
      <c r="E212" s="54">
        <f>IF($B210="","",IF($B212="","",IF('[1]I.st-výs-KO'!$P52="","",'[1]I.st-výs-KO'!$S52)))</f>
      </c>
      <c r="F212" s="40"/>
      <c r="G212" s="67"/>
      <c r="H212" s="68"/>
    </row>
    <row r="213" spans="1:8" ht="12.75">
      <c r="A213" s="27"/>
      <c r="C213" s="27"/>
      <c r="D213" s="49"/>
      <c r="E213" s="189">
        <f>IF('[1]copy_before_draw_I_st'!$F$1&gt;64,90,"")</f>
      </c>
      <c r="F213" s="40">
        <f>IF($E$213=90,IF('[1]I.st-výs-KO'!$Q92="","",'[1]I.st-výs-KO'!$Q92),"")</f>
      </c>
      <c r="G213" s="67"/>
      <c r="H213" s="68"/>
    </row>
    <row r="214" spans="1:8" ht="12.75">
      <c r="A214" s="27">
        <f>IF('[1]copy_before_draw_I_st'!$F$1&gt;64,103,"")</f>
      </c>
      <c r="B214" s="66">
        <f>IF('[1]copy_I.st_KO_afterdraw'!$C$109="","",'[1]copy_I.st_KO_afterdraw'!$C$109)</f>
      </c>
      <c r="C214" s="27">
        <f>IF($A$202=97,IF(B214="","bye",CONCATENATE(VLOOKUP(B214,'[1]Rank'!$A$3:$D$300,2),"  (",VLOOKUP(B214,'[1]Rank'!$A$3:$D$300,3),")")),"")</f>
      </c>
      <c r="D214" s="49"/>
      <c r="E214" s="189"/>
      <c r="F214" s="40">
        <f>IF($E$213=90,IF('[1]I.st-výs-KO'!$P92="","",'[1]I.st-výs-KO'!$S92),"")</f>
      </c>
      <c r="G214" s="67"/>
      <c r="H214" s="68"/>
    </row>
    <row r="215" spans="1:8" ht="12.75">
      <c r="A215" s="27"/>
      <c r="C215" s="27"/>
      <c r="D215" s="188">
        <f>IF('[1]copy_before_draw_I_st'!$F$1&gt;64,52,"")</f>
      </c>
      <c r="E215" s="54">
        <f>IF(OR($B214="",$B216=""),IF($B214="",IF($B216="","",'[1]I.st-výs-KO'!$F53),'[1]I.st-výs-KO'!$C53),'[1]I.st-výs-KO'!$Q53)</f>
      </c>
      <c r="F215" s="46"/>
      <c r="G215" s="67"/>
      <c r="H215" s="68"/>
    </row>
    <row r="216" spans="1:8" ht="12.75">
      <c r="A216" s="27">
        <f>IF('[1]copy_before_draw_I_st'!$F$1&gt;64,104,"")</f>
      </c>
      <c r="B216" s="66">
        <f>IF('[1]copy_I.st_KO_afterdraw'!$C$110="","",'[1]copy_I.st_KO_afterdraw'!$C$110)</f>
      </c>
      <c r="C216" s="38">
        <f>IF($A$202=97,IF(B216="","bye",CONCATENATE(VLOOKUP(B216,'[1]Rank'!$A$3:$D$300,2),"  (",VLOOKUP(B216,'[1]Rank'!$A$3:$D$300,3),")")),"")</f>
      </c>
      <c r="D216" s="188"/>
      <c r="E216" s="54">
        <f>IF($B214="","",IF($B216="","",IF('[1]I.st-výs-KO'!$P53="","",'[1]I.st-výs-KO'!$S53)))</f>
      </c>
      <c r="F216" s="40"/>
      <c r="G216" s="67"/>
      <c r="H216" s="68"/>
    </row>
    <row r="217" spans="1:8" ht="12.75">
      <c r="A217" s="27"/>
      <c r="C217" s="27"/>
      <c r="D217" s="49"/>
      <c r="E217" s="68"/>
      <c r="F217" s="40"/>
      <c r="G217" s="190">
        <f>IF(AND('[1]Turnaj'!$L$10=8,'[1]copy_before_draw_I_st'!$F$1&gt;64),119,"")</f>
      </c>
      <c r="H217" s="67">
        <f>IF($G$217=119,IF('[1]I.st-výs-KO'!$Q123="","",'[1]I.st-výs-KO'!$Q123),"")</f>
      </c>
    </row>
    <row r="218" spans="1:8" ht="12.75">
      <c r="A218" s="27">
        <f>IF('[1]copy_before_draw_I_st'!$F$1&gt;64,105,"")</f>
      </c>
      <c r="B218" s="66">
        <f>IF('[1]copy_I.st_KO_afterdraw'!$C$111="","",'[1]copy_I.st_KO_afterdraw'!$C$111)</f>
      </c>
      <c r="C218" s="38">
        <f>IF($A$202=97,IF(B218="","bye",CONCATENATE(VLOOKUP(B218,'[1]Rank'!$A$3:$D$300,2),"  (",VLOOKUP(B218,'[1]Rank'!$A$3:$D$300,3),")")),"")</f>
      </c>
      <c r="D218" s="49"/>
      <c r="E218" s="44"/>
      <c r="F218" s="46"/>
      <c r="G218" s="190"/>
      <c r="H218" s="67">
        <f>IF($G$217=119,IF('[1]I.st-výs-KO'!$P123="","",'[1]I.st-výs-KO'!$S123),"")</f>
      </c>
    </row>
    <row r="219" spans="1:8" ht="12.75">
      <c r="A219" s="27"/>
      <c r="C219" s="27"/>
      <c r="D219" s="188">
        <f>IF('[1]copy_before_draw_I_st'!$F$1&gt;64,53,"")</f>
      </c>
      <c r="E219" s="54">
        <f>IF(OR($B218="",$B220=""),IF($B218="",IF($B220="","",'[1]I.st-výs-KO'!$F54),'[1]I.st-výs-KO'!$C54),'[1]I.st-výs-KO'!$Q54)</f>
      </c>
      <c r="F219" s="38"/>
      <c r="G219" s="67"/>
      <c r="H219" s="68"/>
    </row>
    <row r="220" spans="1:8" ht="12.75">
      <c r="A220" s="27">
        <f>IF('[1]copy_before_draw_I_st'!$F$1&gt;64,106,"")</f>
      </c>
      <c r="B220" s="66">
        <f>IF('[1]copy_I.st_KO_afterdraw'!$C$112="","",'[1]copy_I.st_KO_afterdraw'!$C$112)</f>
      </c>
      <c r="C220" s="27">
        <f>IF($A$202=97,IF(B220="","bye",CONCATENATE(VLOOKUP(B220,'[1]Rank'!$A$3:$D$300,2),"  (",VLOOKUP(B220,'[1]Rank'!$A$3:$D$300,3),")")),"")</f>
      </c>
      <c r="D220" s="188"/>
      <c r="E220" s="54">
        <f>IF($B218="","",IF($B220="","",IF('[1]I.st-výs-KO'!$P54="","",'[1]I.st-výs-KO'!$S54)))</f>
      </c>
      <c r="F220" s="38"/>
      <c r="G220" s="67"/>
      <c r="H220" s="68"/>
    </row>
    <row r="221" spans="1:8" ht="12.75">
      <c r="A221" s="27"/>
      <c r="C221" s="27"/>
      <c r="D221" s="51"/>
      <c r="E221" s="189">
        <f>IF('[1]copy_before_draw_I_st'!$F$1&gt;64,91,"")</f>
      </c>
      <c r="F221" s="40">
        <f>IF($E$221=91,IF('[1]I.st-výs-KO'!$Q93="","",'[1]I.st-výs-KO'!$Q93),"")</f>
      </c>
      <c r="G221" s="67"/>
      <c r="H221" s="68"/>
    </row>
    <row r="222" spans="1:8" ht="12.75">
      <c r="A222" s="27">
        <f>IF('[1]copy_before_draw_I_st'!$F$1&gt;64,107,"")</f>
      </c>
      <c r="B222" s="66">
        <f>IF('[1]copy_I.st_KO_afterdraw'!$C$113="","",'[1]copy_I.st_KO_afterdraw'!$C$113)</f>
      </c>
      <c r="C222" s="27">
        <f>IF($A$202=97,IF(B222="","bye",CONCATENATE(VLOOKUP(B222,'[1]Rank'!$A$3:$D$300,2),"  (",VLOOKUP(B222,'[1]Rank'!$A$3:$D$300,3),")")),"")</f>
      </c>
      <c r="D222" s="51"/>
      <c r="E222" s="189"/>
      <c r="F222" s="40">
        <f>IF($E$221=91,IF('[1]I.st-výs-KO'!$P93="","",'[1]I.st-výs-KO'!$S93),"")</f>
      </c>
      <c r="G222" s="67"/>
      <c r="H222" s="68"/>
    </row>
    <row r="223" spans="1:8" ht="12.75">
      <c r="A223" s="27"/>
      <c r="C223" s="27"/>
      <c r="D223" s="188">
        <f>IF('[1]copy_before_draw_I_st'!$F$1&gt;64,54,"")</f>
      </c>
      <c r="E223" s="54">
        <f>IF(OR($B222="",$B224=""),IF($B222="",IF($B224="","",'[1]I.st-výs-KO'!$F55),'[1]I.st-výs-KO'!$C55),'[1]I.st-výs-KO'!$Q55)</f>
      </c>
      <c r="F223" s="38"/>
      <c r="G223" s="67"/>
      <c r="H223" s="68"/>
    </row>
    <row r="224" spans="1:8" ht="12.75">
      <c r="A224" s="27">
        <f>IF('[1]copy_before_draw_I_st'!$F$1&gt;64,108,"")</f>
      </c>
      <c r="B224" s="66">
        <f>IF('[1]copy_I.st_KO_afterdraw'!$C$114="","",'[1]copy_I.st_KO_afterdraw'!$C$114)</f>
      </c>
      <c r="C224" s="38">
        <f>IF($A$202=97,IF(B224="","bye",CONCATENATE(VLOOKUP(B224,'[1]Rank'!$A$3:$D$300,2),"  (",VLOOKUP(B224,'[1]Rank'!$A$3:$D$300,3),")")),"")</f>
      </c>
      <c r="D224" s="188"/>
      <c r="E224" s="54">
        <f>IF($B222="","",IF($B224="","",IF('[1]I.st-výs-KO'!$P55="","",'[1]I.st-výs-KO'!$S55)))</f>
      </c>
      <c r="F224" s="38"/>
      <c r="G224" s="67"/>
      <c r="H224" s="68"/>
    </row>
    <row r="225" spans="1:8" ht="12.75">
      <c r="A225" s="27"/>
      <c r="C225" s="27"/>
      <c r="D225" s="51"/>
      <c r="E225" s="54"/>
      <c r="F225" s="190">
        <f>IF(AND('[1]Turnaj'!$L$10=16,'[1]copy_before_draw_I_st'!$F$1&gt;64),110,IF(AND('[1]Turnaj'!$L$10=8,'[1]copy_before_draw_I_st'!$F$1&gt;64),110,""))</f>
      </c>
      <c r="G225" s="67">
        <f>IF($F$225=110,IF('[1]I.st-výs-KO'!$Q113="","",'[1]I.st-výs-KO'!$Q113),"")</f>
      </c>
      <c r="H225" s="68"/>
    </row>
    <row r="226" spans="1:8" ht="12.75">
      <c r="A226" s="27">
        <f>IF('[1]copy_before_draw_I_st'!$F$1&gt;64,109,"")</f>
      </c>
      <c r="B226" s="66">
        <f>IF('[1]copy_I.st_KO_afterdraw'!$C$115="","",'[1]copy_I.st_KO_afterdraw'!$C$115)</f>
      </c>
      <c r="C226" s="38">
        <f>IF($A$202=97,IF(B226="","bye",CONCATENATE(VLOOKUP(B226,'[1]Rank'!$A$3:$D$300,2),"  (",VLOOKUP(B226,'[1]Rank'!$A$3:$D$300,3),")")),"")</f>
      </c>
      <c r="D226" s="49"/>
      <c r="E226" s="27"/>
      <c r="F226" s="190"/>
      <c r="G226" s="67">
        <f>IF($F$225=110,IF('[1]I.st-výs-KO'!$P113="","",'[1]I.st-výs-KO'!$S113),"")</f>
      </c>
      <c r="H226" s="68"/>
    </row>
    <row r="227" spans="1:8" ht="12.75">
      <c r="A227" s="27"/>
      <c r="C227" s="68"/>
      <c r="D227" s="188">
        <f>IF('[1]copy_before_draw_I_st'!$F$1&gt;64,55,"")</f>
      </c>
      <c r="E227" s="54">
        <f>IF(OR($B226="",$B228=""),IF($B226="",IF($B228="","",'[1]I.st-výs-KO'!$F56),'[1]I.st-výs-KO'!$C56),'[1]I.st-výs-KO'!$Q56)</f>
      </c>
      <c r="F227" s="56"/>
      <c r="G227" s="67"/>
      <c r="H227" s="68"/>
    </row>
    <row r="228" spans="1:8" ht="12.75">
      <c r="A228" s="27">
        <f>IF('[1]copy_before_draw_I_st'!$F$1&gt;64,110,"")</f>
      </c>
      <c r="B228" s="66">
        <f>IF('[1]copy_I.st_KO_afterdraw'!$C$116="","",'[1]copy_I.st_KO_afterdraw'!$C$116)</f>
      </c>
      <c r="C228" s="27">
        <f>IF($A$202=97,IF(B228="","bye",CONCATENATE(VLOOKUP(B228,'[1]Rank'!$A$3:$D$300,2),"  (",VLOOKUP(B228,'[1]Rank'!$A$3:$D$300,3),")")),"")</f>
      </c>
      <c r="D228" s="188"/>
      <c r="E228" s="54">
        <f>IF($B226="","",IF($B228="","",IF('[1]I.st-výs-KO'!$P56="","",'[1]I.st-výs-KO'!$S56)))</f>
      </c>
      <c r="F228" s="56"/>
      <c r="G228" s="67"/>
      <c r="H228" s="68"/>
    </row>
    <row r="229" spans="1:8" ht="12.75">
      <c r="A229" s="27"/>
      <c r="C229" s="27"/>
      <c r="D229" s="49"/>
      <c r="E229" s="189">
        <f>IF('[1]copy_before_draw_I_st'!$F$1&gt;64,92,"")</f>
      </c>
      <c r="F229" s="40">
        <f>IF($E$229=92,IF('[1]I.st-výs-KO'!$Q94="","",'[1]I.st-výs-KO'!$Q94),"")</f>
      </c>
      <c r="G229" s="67"/>
      <c r="H229" s="68"/>
    </row>
    <row r="230" spans="1:8" ht="12.75">
      <c r="A230" s="27">
        <f>IF('[1]copy_before_draw_I_st'!$F$1&gt;64,111,"")</f>
      </c>
      <c r="B230" s="66">
        <f>IF('[1]copy_I.st_KO_afterdraw'!$C$117="","",'[1]copy_I.st_KO_afterdraw'!$C$117)</f>
      </c>
      <c r="C230" s="27">
        <f>IF($A$202=97,IF(B230="","bye",CONCATENATE(VLOOKUP(B230,'[1]Rank'!$A$3:$D$300,2),"  (",VLOOKUP(B230,'[1]Rank'!$A$3:$D$300,3),")")),"")</f>
      </c>
      <c r="D230" s="49"/>
      <c r="E230" s="189"/>
      <c r="F230" s="40">
        <f>IF($E$229=92,IF('[1]I.st-výs-KO'!$P94="","",'[1]I.st-výs-KO'!$S94),"")</f>
      </c>
      <c r="G230" s="67"/>
      <c r="H230" s="68"/>
    </row>
    <row r="231" spans="1:8" ht="12.75">
      <c r="A231" s="27"/>
      <c r="C231" s="27"/>
      <c r="D231" s="188">
        <f>IF('[1]copy_before_draw_I_st'!$F$1&gt;64,56,"")</f>
      </c>
      <c r="E231" s="54">
        <f>IF(OR($B230="",$B232=""),IF($B230="",IF($B232="","",'[1]I.st-výs-KO'!$F57),'[1]I.st-výs-KO'!$C57),'[1]I.st-výs-KO'!$Q57)</f>
      </c>
      <c r="F231" s="56"/>
      <c r="G231" s="67"/>
      <c r="H231" s="68"/>
    </row>
    <row r="232" spans="1:8" ht="12.75">
      <c r="A232" s="27">
        <f>IF('[1]copy_before_draw_I_st'!$F$1&gt;64,112,"")</f>
      </c>
      <c r="B232" s="66">
        <f>IF('[1]copy_I.st_KO_afterdraw'!$C$118="","",'[1]copy_I.st_KO_afterdraw'!$C$118)</f>
      </c>
      <c r="C232" s="38">
        <f>IF($A$202=97,IF(B232="","bye",CONCATENATE(VLOOKUP(B232,'[1]Rank'!$A$3:$D$300,2),"  (",VLOOKUP(B232,'[1]Rank'!$A$3:$D$300,3),")")),"")</f>
      </c>
      <c r="D232" s="188"/>
      <c r="E232" s="54">
        <f>IF($B230="","",IF($B232="","",IF('[1]I.st-výs-KO'!$P57="","",'[1]I.st-výs-KO'!$S57)))</f>
      </c>
      <c r="F232" s="56"/>
      <c r="G232" s="67"/>
      <c r="H232" s="68"/>
    </row>
    <row r="233" spans="1:8" ht="12.75">
      <c r="A233" s="27"/>
      <c r="B233" s="27"/>
      <c r="C233" s="68"/>
      <c r="D233" s="68"/>
      <c r="E233" s="68"/>
      <c r="F233" s="56"/>
      <c r="G233" s="67"/>
      <c r="H233" s="68"/>
    </row>
    <row r="234" spans="1:8" ht="12.75">
      <c r="A234" s="27">
        <f>IF('[1]copy_before_draw_I_st'!$F$1&gt;64,113,"")</f>
      </c>
      <c r="B234" s="66">
        <f>IF('[1]copy_I.st_KO_afterdraw'!$C$119="","",'[1]copy_I.st_KO_afterdraw'!$C$119)</f>
      </c>
      <c r="C234" s="38">
        <f>IF($A$202=97,IF(B234="","bye",CONCATENATE(VLOOKUP(B234,'[1]Rank'!$A$3:$D$300,2),"  (",VLOOKUP(B234,'[1]Rank'!$A$3:$D$300,3),")")),"")</f>
      </c>
      <c r="D234" s="49"/>
      <c r="E234" s="68"/>
      <c r="F234" s="46"/>
      <c r="G234" s="67"/>
      <c r="H234" s="68"/>
    </row>
    <row r="235" spans="1:8" ht="12.75">
      <c r="A235" s="27"/>
      <c r="B235" s="27"/>
      <c r="C235" s="68"/>
      <c r="D235" s="188">
        <f>IF('[1]copy_before_draw_I_st'!$F$1&gt;64,57,"")</f>
      </c>
      <c r="E235" s="54">
        <f>IF(OR($B234="",$B236=""),IF($B234="",IF($B236="","",'[1]I.st-výs-KO'!$F58),'[1]I.st-výs-KO'!$C58),'[1]I.st-výs-KO'!$Q58)</f>
      </c>
      <c r="F235" s="46"/>
      <c r="G235" s="67"/>
      <c r="H235" s="68"/>
    </row>
    <row r="236" spans="1:8" ht="12.75">
      <c r="A236" s="27">
        <f>IF('[1]copy_before_draw_I_st'!$F$1&gt;64,114,"")</f>
      </c>
      <c r="B236" s="66">
        <f>IF('[1]copy_I.st_KO_afterdraw'!$C$120="","",'[1]copy_I.st_KO_afterdraw'!$C$120)</f>
      </c>
      <c r="C236" s="27">
        <f>IF($A$202=97,IF(B236="","bye",CONCATENATE(VLOOKUP(B236,'[1]Rank'!$A$3:$D$300,2),"  (",VLOOKUP(B236,'[1]Rank'!$A$3:$D$300,3),")")),"")</f>
      </c>
      <c r="D236" s="188"/>
      <c r="E236" s="54">
        <f>IF($B234="","",IF($B236="","",IF('[1]I.st-výs-KO'!$P58="","",'[1]I.st-výs-KO'!$S58)))</f>
      </c>
      <c r="F236" s="56"/>
      <c r="G236" s="67"/>
      <c r="H236" s="68"/>
    </row>
    <row r="237" spans="1:8" ht="12.75">
      <c r="A237" s="27"/>
      <c r="B237" s="27"/>
      <c r="C237" s="68"/>
      <c r="D237" s="68"/>
      <c r="E237" s="189">
        <f>IF('[1]copy_before_draw_I_st'!$F$1&gt;64,93,"")</f>
      </c>
      <c r="F237" s="40">
        <f>IF($E$237=93,IF('[1]I.st-výs-KO'!$Q95="","",'[1]I.st-výs-KO'!$Q95),"")</f>
      </c>
      <c r="G237" s="67"/>
      <c r="H237" s="68"/>
    </row>
    <row r="238" spans="1:8" ht="12.75">
      <c r="A238" s="27">
        <f>IF('[1]copy_before_draw_I_st'!$F$1&gt;64,115,"")</f>
      </c>
      <c r="B238" s="66">
        <f>IF('[1]copy_I.st_KO_afterdraw'!$C$121="","",'[1]copy_I.st_KO_afterdraw'!$C$121)</f>
      </c>
      <c r="C238" s="27">
        <f>IF($A$202=97,IF(B238="","bye",CONCATENATE(VLOOKUP(B238,'[1]Rank'!$A$3:$D$300,2),"  (",VLOOKUP(B238,'[1]Rank'!$A$3:$D$300,3),")")),"")</f>
      </c>
      <c r="D238" s="51"/>
      <c r="E238" s="189"/>
      <c r="F238" s="40">
        <f>IF($E$237=93,IF('[1]I.st-výs-KO'!$P95="","",'[1]I.st-výs-KO'!$S95),"")</f>
      </c>
      <c r="G238" s="67"/>
      <c r="H238" s="68"/>
    </row>
    <row r="239" spans="1:8" ht="12.75">
      <c r="A239" s="27"/>
      <c r="B239" s="27"/>
      <c r="C239" s="27"/>
      <c r="D239" s="188">
        <f>IF('[1]copy_before_draw_I_st'!$F$1&gt;64,58,"")</f>
      </c>
      <c r="E239" s="54">
        <f>IF(OR($B238="",$B240=""),IF($B238="",IF($B240="","",'[1]I.st-výs-KO'!$F59),'[1]I.st-výs-KO'!$C59),'[1]I.st-výs-KO'!$Q59)</f>
      </c>
      <c r="F239" s="56"/>
      <c r="G239" s="67"/>
      <c r="H239" s="68"/>
    </row>
    <row r="240" spans="1:8" ht="12.75">
      <c r="A240" s="27">
        <f>IF('[1]copy_before_draw_I_st'!$F$1&gt;64,116,"")</f>
      </c>
      <c r="B240" s="66">
        <f>IF('[1]copy_I.st_KO_afterdraw'!$C$122="","",'[1]copy_I.st_KO_afterdraw'!$C$122)</f>
      </c>
      <c r="C240" s="38">
        <f>IF($A$202=97,IF(B240="","bye",CONCATENATE(VLOOKUP(B240,'[1]Rank'!$A$3:$D$300,2),"  (",VLOOKUP(B240,'[1]Rank'!$A$3:$D$300,3),")")),"")</f>
      </c>
      <c r="D240" s="188"/>
      <c r="E240" s="54">
        <f>IF($B238="","",IF($B240="","",IF('[1]I.st-výs-KO'!$P59="","",'[1]I.st-výs-KO'!$S59)))</f>
      </c>
      <c r="F240" s="56"/>
      <c r="G240" s="67"/>
      <c r="H240" s="68"/>
    </row>
    <row r="241" spans="1:8" ht="12.75">
      <c r="A241" s="27"/>
      <c r="B241" s="27"/>
      <c r="C241" s="27"/>
      <c r="D241" s="51"/>
      <c r="E241" s="27"/>
      <c r="F241" s="190">
        <f>IF(AND('[1]Turnaj'!$L$10=16,'[1]copy_before_draw_I_st'!$F$1&gt;64),111,IF(AND('[1]Turnaj'!$L$10=8,'[1]copy_before_draw_I_st'!$F$1&gt;64),111,""))</f>
      </c>
      <c r="G241" s="67">
        <f>IF($F$241=111,IF('[1]I.st-výs-KO'!$Q114="","",'[1]I.st-výs-KO'!$Q114),"")</f>
      </c>
      <c r="H241" s="68"/>
    </row>
    <row r="242" spans="1:8" ht="12.75">
      <c r="A242" s="27">
        <f>IF('[1]copy_before_draw_I_st'!$F$1&gt;64,117,"")</f>
      </c>
      <c r="B242" s="66">
        <f>IF('[1]copy_I.st_KO_afterdraw'!$C$123="","",'[1]copy_I.st_KO_afterdraw'!$C$123)</f>
      </c>
      <c r="C242" s="38">
        <f>IF($A$202=97,IF(B242="","bye",CONCATENATE(VLOOKUP(B242,'[1]Rank'!$A$3:$D$300,2),"  (",VLOOKUP(B242,'[1]Rank'!$A$3:$D$300,3),")")),"")</f>
      </c>
      <c r="D242" s="51"/>
      <c r="E242" s="27"/>
      <c r="F242" s="190"/>
      <c r="G242" s="67">
        <f>IF($F$241=111,IF('[1]I.st-výs-KO'!$P114="","",'[1]I.st-výs-KO'!$S114),"")</f>
      </c>
      <c r="H242" s="68"/>
    </row>
    <row r="243" spans="1:8" ht="12.75">
      <c r="A243" s="27"/>
      <c r="B243" s="27"/>
      <c r="C243" s="27"/>
      <c r="D243" s="188">
        <f>IF('[1]copy_before_draw_I_st'!$F$1&gt;64,59,"")</f>
      </c>
      <c r="E243" s="54">
        <f>IF(OR($B242="",$B244=""),IF($B242="",IF($B244="","",'[1]I.st-výs-KO'!$F60),'[1]I.st-výs-KO'!$C60),'[1]I.st-výs-KO'!$Q60)</f>
      </c>
      <c r="F243" s="56"/>
      <c r="G243" s="67"/>
      <c r="H243" s="68"/>
    </row>
    <row r="244" spans="1:8" ht="12.75">
      <c r="A244" s="27">
        <f>IF('[1]copy_before_draw_I_st'!$F$1&gt;64,118,"")</f>
      </c>
      <c r="B244" s="66">
        <f>IF('[1]copy_I.st_KO_afterdraw'!$C$124="","",'[1]copy_I.st_KO_afterdraw'!$C$124)</f>
      </c>
      <c r="C244" s="27">
        <f>IF($A$202=97,IF(B244="","bye",CONCATENATE(VLOOKUP(B244,'[1]Rank'!$A$3:$D$300,2),"  (",VLOOKUP(B244,'[1]Rank'!$A$3:$D$300,3),")")),"")</f>
      </c>
      <c r="D244" s="188"/>
      <c r="E244" s="54">
        <f>IF($B242="","",IF($B244="","",IF('[1]I.st-výs-KO'!$P60="","",'[1]I.st-výs-KO'!$S60)))</f>
      </c>
      <c r="F244" s="56"/>
      <c r="G244" s="67"/>
      <c r="H244" s="68"/>
    </row>
    <row r="245" spans="1:8" ht="12.75">
      <c r="A245" s="27"/>
      <c r="B245" s="27"/>
      <c r="C245" s="27"/>
      <c r="D245" s="51"/>
      <c r="E245" s="189">
        <f>IF('[1]copy_before_draw_I_st'!$F$1&gt;64,94,"")</f>
      </c>
      <c r="F245" s="40">
        <f>IF($E$245=94,IF('[1]I.st-výs-KO'!$Q96="","",'[1]I.st-výs-KO'!$Q96),"")</f>
      </c>
      <c r="G245" s="67"/>
      <c r="H245" s="68"/>
    </row>
    <row r="246" spans="1:8" ht="12.75">
      <c r="A246" s="27">
        <f>IF('[1]copy_before_draw_I_st'!$F$1&gt;64,119,"")</f>
      </c>
      <c r="B246" s="66">
        <f>IF('[1]copy_I.st_KO_afterdraw'!$C$125="","",'[1]copy_I.st_KO_afterdraw'!$C$125)</f>
      </c>
      <c r="C246" s="27">
        <f>IF($A$202=97,IF(B246="","bye",CONCATENATE(VLOOKUP(B246,'[1]Rank'!$A$3:$D$300,2),"  (",VLOOKUP(B246,'[1]Rank'!$A$3:$D$300,3),")")),"")</f>
      </c>
      <c r="D246" s="51"/>
      <c r="E246" s="189"/>
      <c r="F246" s="40">
        <f>IF($E$245=94,IF('[1]I.st-výs-KO'!$P96="","",'[1]I.st-výs-KO'!$S96),"")</f>
      </c>
      <c r="G246" s="67"/>
      <c r="H246" s="68"/>
    </row>
    <row r="247" spans="1:8" ht="12.75">
      <c r="A247" s="27"/>
      <c r="B247" s="27"/>
      <c r="C247" s="27"/>
      <c r="D247" s="188">
        <f>IF('[1]copy_before_draw_I_st'!$F$1&gt;64,60,"")</f>
      </c>
      <c r="E247" s="54">
        <f>IF(OR($B246="",$B248=""),IF($B246="",IF($B248="","",'[1]I.st-výs-KO'!$F61),'[1]I.st-výs-KO'!$C61),'[1]I.st-výs-KO'!$Q61)</f>
      </c>
      <c r="F247" s="56"/>
      <c r="G247" s="67"/>
      <c r="H247" s="68"/>
    </row>
    <row r="248" spans="1:8" ht="12.75">
      <c r="A248" s="27">
        <f>IF('[1]copy_before_draw_I_st'!$F$1&gt;64,120,"")</f>
      </c>
      <c r="B248" s="66">
        <f>IF('[1]copy_I.st_KO_afterdraw'!$C$126="","",'[1]copy_I.st_KO_afterdraw'!$C$126)</f>
      </c>
      <c r="C248" s="38">
        <f>IF($A$202=97,IF(B248="","bye",CONCATENATE(VLOOKUP(B248,'[1]Rank'!$A$3:$D$300,2),"  (",VLOOKUP(B248,'[1]Rank'!$A$3:$D$300,3),")")),"")</f>
      </c>
      <c r="D248" s="188"/>
      <c r="E248" s="54">
        <f>IF($B246="","",IF($B248="","",IF('[1]I.st-výs-KO'!$P61="","",'[1]I.st-výs-KO'!$S61)))</f>
      </c>
      <c r="F248" s="56"/>
      <c r="G248" s="67"/>
      <c r="H248" s="68"/>
    </row>
    <row r="249" spans="1:8" ht="12.75">
      <c r="A249" s="27"/>
      <c r="B249" s="27"/>
      <c r="C249" s="27"/>
      <c r="D249" s="51"/>
      <c r="E249" s="27"/>
      <c r="F249" s="56"/>
      <c r="G249" s="190">
        <f>IF(AND('[1]Turnaj'!$L$10=8,'[1]copy_before_draw_I_st'!$F$1&gt;64),120,"")</f>
      </c>
      <c r="H249" s="67">
        <f>IF($G$249=120,IF('[1]I.st-výs-KO'!$Q124="","",'[1]I.st-výs-KO'!$Q124),"")</f>
      </c>
    </row>
    <row r="250" spans="1:8" ht="12.75">
      <c r="A250" s="27">
        <f>IF('[1]copy_before_draw_I_st'!$F$1&gt;64,121,"")</f>
      </c>
      <c r="B250" s="66">
        <f>IF('[1]copy_I.st_KO_afterdraw'!$C$127="","",'[1]copy_I.st_KO_afterdraw'!$C$127)</f>
      </c>
      <c r="C250" s="38">
        <f>IF($A$202=97,IF(B250="","bye",CONCATENATE(VLOOKUP(B250,'[1]Rank'!$A$3:$D$300,2),"  (",VLOOKUP(B250,'[1]Rank'!$A$3:$D$300,3),")")),"")</f>
      </c>
      <c r="D250" s="51"/>
      <c r="E250" s="27"/>
      <c r="F250" s="56"/>
      <c r="G250" s="190"/>
      <c r="H250" s="67">
        <f>IF($G$249=120,IF('[1]I.st-výs-KO'!$P124="","",'[1]I.st-výs-KO'!$S124),"")</f>
      </c>
    </row>
    <row r="251" spans="1:8" ht="12.75">
      <c r="A251" s="27"/>
      <c r="B251" s="27"/>
      <c r="C251" s="27"/>
      <c r="D251" s="188">
        <f>IF('[1]copy_before_draw_I_st'!$F$1&gt;64,61,"")</f>
      </c>
      <c r="E251" s="54">
        <f>IF(OR($B250="",$B252=""),IF($B250="",IF($B252="","",'[1]I.st-výs-KO'!$F62),'[1]I.st-výs-KO'!$C62),'[1]I.st-výs-KO'!$Q62)</f>
      </c>
      <c r="F251" s="56"/>
      <c r="G251" s="67"/>
      <c r="H251" s="68"/>
    </row>
    <row r="252" spans="1:8" ht="12.75">
      <c r="A252" s="27">
        <f>IF('[1]copy_before_draw_I_st'!$F$1&gt;64,122,"")</f>
      </c>
      <c r="B252" s="66">
        <f>IF('[1]copy_I.st_KO_afterdraw'!$C$128="","",'[1]copy_I.st_KO_afterdraw'!$C$128)</f>
      </c>
      <c r="C252" s="27">
        <f>IF($A$202=97,IF(B252="","bye",CONCATENATE(VLOOKUP(B252,'[1]Rank'!$A$3:$D$300,2),"  (",VLOOKUP(B252,'[1]Rank'!$A$3:$D$300,3),")")),"")</f>
      </c>
      <c r="D252" s="188"/>
      <c r="E252" s="54">
        <f>IF($B250="","",IF($B252="","",IF('[1]I.st-výs-KO'!$P62="","",'[1]I.st-výs-KO'!$S62)))</f>
      </c>
      <c r="F252" s="56"/>
      <c r="G252" s="67"/>
      <c r="H252" s="68"/>
    </row>
    <row r="253" spans="1:8" ht="12.75">
      <c r="A253" s="27"/>
      <c r="B253" s="27"/>
      <c r="C253" s="27"/>
      <c r="D253" s="51"/>
      <c r="E253" s="189">
        <f>IF('[1]copy_before_draw_I_st'!$F$1&gt;64,95,"")</f>
      </c>
      <c r="F253" s="40">
        <f>IF($E$253=95,IF('[1]I.st-výs-KO'!$Q97="","",'[1]I.st-výs-KO'!$Q97),"")</f>
      </c>
      <c r="G253" s="67"/>
      <c r="H253" s="68"/>
    </row>
    <row r="254" spans="1:8" ht="12.75">
      <c r="A254" s="27">
        <f>IF('[1]copy_before_draw_I_st'!$F$1&gt;64,123,"")</f>
      </c>
      <c r="B254" s="66">
        <f>IF('[1]copy_I.st_KO_afterdraw'!$C$129="","",'[1]copy_I.st_KO_afterdraw'!$C$129)</f>
      </c>
      <c r="C254" s="27">
        <f>IF($A$202=97,IF(B254="","bye",CONCATENATE(VLOOKUP(B254,'[1]Rank'!$A$3:$D$300,2),"  (",VLOOKUP(B254,'[1]Rank'!$A$3:$D$300,3),")")),"")</f>
      </c>
      <c r="D254" s="51"/>
      <c r="E254" s="189"/>
      <c r="F254" s="40">
        <f>IF($E$253=95,IF('[1]I.st-výs-KO'!$P97="","",'[1]I.st-výs-KO'!$S97),"")</f>
      </c>
      <c r="G254" s="67"/>
      <c r="H254" s="68"/>
    </row>
    <row r="255" spans="1:8" ht="12.75">
      <c r="A255" s="27"/>
      <c r="B255" s="27"/>
      <c r="C255" s="27"/>
      <c r="D255" s="188">
        <f>IF('[1]copy_before_draw_I_st'!$F$1&gt;64,62,"")</f>
      </c>
      <c r="E255" s="54">
        <f>IF(OR($B254="",$B256=""),IF($B254="",IF($B256="","",'[1]I.st-výs-KO'!$F63),'[1]I.st-výs-KO'!$C63),'[1]I.st-výs-KO'!$Q63)</f>
      </c>
      <c r="F255" s="56"/>
      <c r="G255" s="67"/>
      <c r="H255" s="68"/>
    </row>
    <row r="256" spans="1:8" ht="12.75">
      <c r="A256" s="27">
        <f>IF('[1]copy_before_draw_I_st'!$F$1&gt;64,124,"")</f>
      </c>
      <c r="B256" s="66">
        <f>IF('[1]copy_I.st_KO_afterdraw'!$C$130="","",'[1]copy_I.st_KO_afterdraw'!$C$130)</f>
      </c>
      <c r="C256" s="38">
        <f>IF($A$202=97,IF(B256="","bye",CONCATENATE(VLOOKUP(B256,'[1]Rank'!$A$3:$D$300,2),"  (",VLOOKUP(B256,'[1]Rank'!$A$3:$D$300,3),")")),"")</f>
      </c>
      <c r="D256" s="188"/>
      <c r="E256" s="54">
        <f>IF($B254="","",IF($B256="","",IF('[1]I.st-výs-KO'!$P63="","",'[1]I.st-výs-KO'!$S63)))</f>
      </c>
      <c r="F256" s="56"/>
      <c r="G256" s="67"/>
      <c r="H256" s="68"/>
    </row>
    <row r="257" spans="1:8" ht="12.75">
      <c r="A257" s="27"/>
      <c r="B257" s="27"/>
      <c r="C257" s="27"/>
      <c r="D257" s="51"/>
      <c r="E257" s="27"/>
      <c r="F257" s="190">
        <f>IF(AND('[1]Turnaj'!$L$10=16,'[1]copy_before_draw_I_st'!$F$1&gt;64),112,IF(AND('[1]Turnaj'!$L$10=8,'[1]copy_before_draw_I_st'!$F$1&gt;64),112,""))</f>
      </c>
      <c r="G257" s="67">
        <f>IF($F$257=112,IF('[1]I.st-výs-KO'!$Q115="","",'[1]I.st-výs-KO'!$Q115),"")</f>
      </c>
      <c r="H257" s="68"/>
    </row>
    <row r="258" spans="1:8" ht="12.75">
      <c r="A258" s="27">
        <f>IF('[1]copy_before_draw_I_st'!$F$1&gt;64,125,"")</f>
      </c>
      <c r="B258" s="66">
        <f>IF('[1]copy_I.st_KO_afterdraw'!$C$131="","",'[1]copy_I.st_KO_afterdraw'!$C$131)</f>
      </c>
      <c r="C258" s="38">
        <f>IF($A$202=97,IF(B258="","bye",CONCATENATE(VLOOKUP(B258,'[1]Rank'!$A$3:$D$300,2),"  (",VLOOKUP(B258,'[1]Rank'!$A$3:$D$300,3),")")),"")</f>
      </c>
      <c r="D258" s="51"/>
      <c r="E258" s="27"/>
      <c r="F258" s="190"/>
      <c r="G258" s="67">
        <f>IF($F$257=112,IF('[1]I.st-výs-KO'!$P115="","",'[1]I.st-výs-KO'!$S115),"")</f>
      </c>
      <c r="H258" s="68"/>
    </row>
    <row r="259" spans="1:8" ht="12.75">
      <c r="A259" s="27"/>
      <c r="B259" s="27"/>
      <c r="C259" s="27"/>
      <c r="D259" s="188">
        <f>IF('[1]copy_before_draw_I_st'!$F$1&gt;64,63,"")</f>
      </c>
      <c r="E259" s="54">
        <f>IF(OR($B258="",$B260=""),IF($B258="",IF($B260="","",'[1]I.st-výs-KO'!$F64),'[1]I.st-výs-KO'!$C64),'[1]I.st-výs-KO'!$Q64)</f>
      </c>
      <c r="F259" s="56"/>
      <c r="G259" s="67"/>
      <c r="H259" s="68"/>
    </row>
    <row r="260" spans="1:8" ht="12.75">
      <c r="A260" s="27">
        <f>IF('[1]copy_before_draw_I_st'!$F$1&gt;64,126,"")</f>
      </c>
      <c r="B260" s="66">
        <f>IF('[1]copy_I.st_KO_afterdraw'!$C$132="","",'[1]copy_I.st_KO_afterdraw'!$C$132)</f>
      </c>
      <c r="C260" s="27">
        <f>IF($A$202=97,IF(B260="","bye",CONCATENATE(VLOOKUP(B260,'[1]Rank'!$A$3:$D$300,2),"  (",VLOOKUP(B260,'[1]Rank'!$A$3:$D$300,3),")")),"")</f>
      </c>
      <c r="D260" s="188"/>
      <c r="E260" s="54">
        <f>IF($B258="","",IF($B260="","",IF('[1]I.st-výs-KO'!$P64="","",'[1]I.st-výs-KO'!$S64)))</f>
      </c>
      <c r="F260" s="56"/>
      <c r="G260" s="67"/>
      <c r="H260" s="68"/>
    </row>
    <row r="261" spans="1:8" ht="12.75">
      <c r="A261" s="27"/>
      <c r="B261" s="27"/>
      <c r="C261" s="27"/>
      <c r="D261" s="51"/>
      <c r="E261" s="189">
        <f>IF('[1]copy_before_draw_I_st'!$F$1&gt;64,96,"")</f>
      </c>
      <c r="F261" s="40">
        <f>IF($E$261=96,IF('[1]I.st-výs-KO'!$Q98="","",'[1]I.st-výs-KO'!$Q98),"")</f>
      </c>
      <c r="G261" s="67"/>
      <c r="H261" s="68"/>
    </row>
    <row r="262" spans="1:8" ht="12.75">
      <c r="A262" s="27">
        <f>IF('[1]copy_before_draw_I_st'!$F$1&gt;64,127,"")</f>
      </c>
      <c r="B262" s="66">
        <f>IF('[1]copy_I.st_KO_afterdraw'!$C$133="","",'[1]copy_I.st_KO_afterdraw'!$C$133)</f>
      </c>
      <c r="C262" s="27">
        <f>IF($A$202=97,IF(B262="","bye",CONCATENATE(VLOOKUP(B262,'[1]Rank'!$A$3:$D$300,2),"  (",VLOOKUP(B262,'[1]Rank'!$A$3:$D$300,3),")")),"")</f>
      </c>
      <c r="D262" s="51"/>
      <c r="E262" s="189"/>
      <c r="F262" s="40">
        <f>IF($E$261=96,IF('[1]I.st-výs-KO'!$P98="","",'[1]I.st-výs-KO'!$S98),"")</f>
      </c>
      <c r="G262" s="67"/>
      <c r="H262" s="68"/>
    </row>
    <row r="263" spans="1:8" ht="12.75">
      <c r="A263" s="27"/>
      <c r="B263" s="27"/>
      <c r="C263" s="27"/>
      <c r="D263" s="188">
        <f>IF('[1]copy_before_draw_I_st'!$F$1&gt;64,64,"")</f>
      </c>
      <c r="E263" s="54">
        <f>IF(OR($B262="",$B264=""),IF($B262="",IF($B264="","",'[1]I.st-výs-KO'!$F65),'[1]I.st-výs-KO'!$C65),'[1]I.st-výs-KO'!$Q65)</f>
      </c>
      <c r="F263" s="56"/>
      <c r="G263" s="67"/>
      <c r="H263" s="68"/>
    </row>
    <row r="264" spans="1:8" ht="12.75">
      <c r="A264" s="27">
        <f>IF('[1]copy_before_draw_I_st'!$F$1&gt;64,128,"")</f>
      </c>
      <c r="B264" s="66">
        <f>IF('[1]copy_I.st_KO_afterdraw'!$C$134="","",'[1]copy_I.st_KO_afterdraw'!$C$134)</f>
      </c>
      <c r="C264" s="38">
        <f>IF($A$202=97,IF(B264="","bye",CONCATENATE(VLOOKUP(B264,'[1]Rank'!$A$3:$D$300,2),"  (",VLOOKUP(B264,'[1]Rank'!$A$3:$D$300,3),")")),"")</f>
      </c>
      <c r="D264" s="188"/>
      <c r="E264" s="54">
        <f>IF($B262="","",IF($B264="","",IF('[1]I.st-výs-KO'!$P65="","",'[1]I.st-výs-KO'!$S65)))</f>
      </c>
      <c r="F264" s="56"/>
      <c r="G264" s="67"/>
      <c r="H264" s="68"/>
    </row>
  </sheetData>
  <sheetProtection sheet="1"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E221:E222"/>
    <mergeCell ref="D223:D224"/>
    <mergeCell ref="F225:F226"/>
    <mergeCell ref="D227:D228"/>
    <mergeCell ref="E229:E230"/>
    <mergeCell ref="D231:D232"/>
    <mergeCell ref="D235:D236"/>
    <mergeCell ref="E237:E238"/>
    <mergeCell ref="D239:D240"/>
    <mergeCell ref="F241:F242"/>
    <mergeCell ref="D243:D244"/>
    <mergeCell ref="E245:E246"/>
    <mergeCell ref="G217:G218"/>
    <mergeCell ref="D219:D220"/>
    <mergeCell ref="D197:D198"/>
    <mergeCell ref="A199:H199"/>
    <mergeCell ref="A200:H200"/>
    <mergeCell ref="D203:D204"/>
    <mergeCell ref="E205:E206"/>
    <mergeCell ref="D207:D208"/>
    <mergeCell ref="E179:E180"/>
    <mergeCell ref="D181:D182"/>
    <mergeCell ref="F209:F210"/>
    <mergeCell ref="D211:D212"/>
    <mergeCell ref="E213:E214"/>
    <mergeCell ref="D215:D216"/>
    <mergeCell ref="D185:D186"/>
    <mergeCell ref="E187:E188"/>
    <mergeCell ref="D189:D190"/>
    <mergeCell ref="F191:F192"/>
    <mergeCell ref="D193:D194"/>
    <mergeCell ref="E195:E196"/>
    <mergeCell ref="E147:E148"/>
    <mergeCell ref="D149:D150"/>
    <mergeCell ref="G151:G152"/>
    <mergeCell ref="D153:D154"/>
    <mergeCell ref="E155:E156"/>
    <mergeCell ref="D157:D158"/>
    <mergeCell ref="G183:G184"/>
    <mergeCell ref="F159:F160"/>
    <mergeCell ref="D161:D162"/>
    <mergeCell ref="E163:E164"/>
    <mergeCell ref="D165:D166"/>
    <mergeCell ref="D169:D170"/>
    <mergeCell ref="E171:E172"/>
    <mergeCell ref="D173:D174"/>
    <mergeCell ref="F175:F176"/>
    <mergeCell ref="D177:D178"/>
    <mergeCell ref="D123:D124"/>
    <mergeCell ref="F125:F126"/>
    <mergeCell ref="D127:D128"/>
    <mergeCell ref="E129:E130"/>
    <mergeCell ref="D131:D132"/>
    <mergeCell ref="A133:H133"/>
    <mergeCell ref="A134:H134"/>
    <mergeCell ref="D137:D138"/>
    <mergeCell ref="E139:E140"/>
    <mergeCell ref="D141:D142"/>
    <mergeCell ref="F143:F144"/>
    <mergeCell ref="D145:D146"/>
    <mergeCell ref="E97:E98"/>
    <mergeCell ref="D99:D100"/>
    <mergeCell ref="D103:D104"/>
    <mergeCell ref="E105:E106"/>
    <mergeCell ref="D107:D108"/>
    <mergeCell ref="F109:F110"/>
    <mergeCell ref="D111:D112"/>
    <mergeCell ref="E113:E114"/>
    <mergeCell ref="D115:D116"/>
    <mergeCell ref="G117:G118"/>
    <mergeCell ref="D119:D120"/>
    <mergeCell ref="E121:E122"/>
    <mergeCell ref="E73:E74"/>
    <mergeCell ref="D75:D76"/>
    <mergeCell ref="F77:F78"/>
    <mergeCell ref="D79:D80"/>
    <mergeCell ref="E81:E82"/>
    <mergeCell ref="D83:D84"/>
    <mergeCell ref="G85:G86"/>
    <mergeCell ref="D87:D88"/>
    <mergeCell ref="E89:E90"/>
    <mergeCell ref="D91:D92"/>
    <mergeCell ref="F93:F94"/>
    <mergeCell ref="D95:D96"/>
    <mergeCell ref="D49:D50"/>
    <mergeCell ref="G51:G52"/>
    <mergeCell ref="D53:D54"/>
    <mergeCell ref="E55:E56"/>
    <mergeCell ref="D57:D58"/>
    <mergeCell ref="F59:F60"/>
    <mergeCell ref="D61:D62"/>
    <mergeCell ref="E63:E64"/>
    <mergeCell ref="D65:D66"/>
    <mergeCell ref="A67:H67"/>
    <mergeCell ref="A68:H68"/>
    <mergeCell ref="D71:D72"/>
    <mergeCell ref="E23:E24"/>
    <mergeCell ref="D25:D26"/>
    <mergeCell ref="F27:F28"/>
    <mergeCell ref="D29:D30"/>
    <mergeCell ref="E31:E32"/>
    <mergeCell ref="D33:D34"/>
    <mergeCell ref="D37:D38"/>
    <mergeCell ref="E39:E40"/>
    <mergeCell ref="D41:D42"/>
    <mergeCell ref="F43:F44"/>
    <mergeCell ref="D45:D46"/>
    <mergeCell ref="E47:E48"/>
    <mergeCell ref="A1:H1"/>
    <mergeCell ref="A2:H2"/>
    <mergeCell ref="G3:H3"/>
    <mergeCell ref="D5:D6"/>
    <mergeCell ref="E7:E8"/>
    <mergeCell ref="D9:D10"/>
    <mergeCell ref="F11:F12"/>
    <mergeCell ref="D13:D14"/>
    <mergeCell ref="E15:E16"/>
    <mergeCell ref="D17:D18"/>
    <mergeCell ref="G19:G20"/>
    <mergeCell ref="D21:D22"/>
  </mergeCells>
  <conditionalFormatting sqref="H12:H18 H20:H27">
    <cfRule type="expression" priority="1" dxfId="884" stopIfTrue="1">
      <formula>$G$19=113</formula>
    </cfRule>
  </conditionalFormatting>
  <conditionalFormatting sqref="H44:H50 H52:H59">
    <cfRule type="expression" priority="2" dxfId="884" stopIfTrue="1">
      <formula>$G$51=114</formula>
    </cfRule>
  </conditionalFormatting>
  <conditionalFormatting sqref="H78:H84 H86:H93">
    <cfRule type="expression" priority="3" dxfId="884" stopIfTrue="1">
      <formula>$G$85=115</formula>
    </cfRule>
  </conditionalFormatting>
  <conditionalFormatting sqref="H110:H116 H118:H125">
    <cfRule type="expression" priority="4" dxfId="884" stopIfTrue="1">
      <formula>$G$117=116</formula>
    </cfRule>
  </conditionalFormatting>
  <conditionalFormatting sqref="H144:H150 H152:H159">
    <cfRule type="expression" priority="5" dxfId="884" stopIfTrue="1">
      <formula>$G$151=117</formula>
    </cfRule>
  </conditionalFormatting>
  <conditionalFormatting sqref="H176:H182 H184:H191">
    <cfRule type="expression" priority="6" dxfId="884" stopIfTrue="1">
      <formula>$G$183=118</formula>
    </cfRule>
  </conditionalFormatting>
  <conditionalFormatting sqref="H242:H248 H250:H257">
    <cfRule type="expression" priority="7" dxfId="884" stopIfTrue="1">
      <formula>$G$249=120</formula>
    </cfRule>
  </conditionalFormatting>
  <conditionalFormatting sqref="H19">
    <cfRule type="expression" priority="8" dxfId="885" stopIfTrue="1">
      <formula>$G$19=113</formula>
    </cfRule>
  </conditionalFormatting>
  <conditionalFormatting sqref="H51">
    <cfRule type="expression" priority="9" dxfId="885" stopIfTrue="1">
      <formula>$G$51=114</formula>
    </cfRule>
  </conditionalFormatting>
  <conditionalFormatting sqref="H85">
    <cfRule type="expression" priority="10" dxfId="885" stopIfTrue="1">
      <formula>$G$85=115</formula>
    </cfRule>
  </conditionalFormatting>
  <conditionalFormatting sqref="H117">
    <cfRule type="expression" priority="11" dxfId="885" stopIfTrue="1">
      <formula>$G$117=116</formula>
    </cfRule>
  </conditionalFormatting>
  <conditionalFormatting sqref="H210:H216 H218:H225">
    <cfRule type="expression" priority="12" dxfId="884" stopIfTrue="1">
      <formula>$G$217=119</formula>
    </cfRule>
  </conditionalFormatting>
  <conditionalFormatting sqref="G8:G10 G12:G15">
    <cfRule type="expression" priority="13" dxfId="884" stopIfTrue="1">
      <formula>$F$11=97</formula>
    </cfRule>
  </conditionalFormatting>
  <conditionalFormatting sqref="G24:G26 G28:G31">
    <cfRule type="expression" priority="14" dxfId="884" stopIfTrue="1">
      <formula>$F$27=98</formula>
    </cfRule>
  </conditionalFormatting>
  <conditionalFormatting sqref="G40:G42 G44:G47">
    <cfRule type="expression" priority="15" dxfId="884" stopIfTrue="1">
      <formula>$F$43=99</formula>
    </cfRule>
  </conditionalFormatting>
  <conditionalFormatting sqref="G56:G58 G60:G63">
    <cfRule type="expression" priority="16" dxfId="884" stopIfTrue="1">
      <formula>$F$59=100</formula>
    </cfRule>
  </conditionalFormatting>
  <conditionalFormatting sqref="G74:G76 G78:G81">
    <cfRule type="expression" priority="17" dxfId="884" stopIfTrue="1">
      <formula>$F$77=101</formula>
    </cfRule>
  </conditionalFormatting>
  <conditionalFormatting sqref="G90:G92 G94:G97">
    <cfRule type="expression" priority="18" dxfId="884" stopIfTrue="1">
      <formula>$F$93=102</formula>
    </cfRule>
  </conditionalFormatting>
  <conditionalFormatting sqref="G106:G108 G110:G113">
    <cfRule type="expression" priority="19" dxfId="884" stopIfTrue="1">
      <formula>$F$109=103</formula>
    </cfRule>
  </conditionalFormatting>
  <conditionalFormatting sqref="G122:G124 G126:G129">
    <cfRule type="expression" priority="20" dxfId="884" stopIfTrue="1">
      <formula>$F$125=104</formula>
    </cfRule>
  </conditionalFormatting>
  <conditionalFormatting sqref="F10:F14">
    <cfRule type="expression" priority="21" dxfId="886" stopIfTrue="1">
      <formula>$F$11=49</formula>
    </cfRule>
  </conditionalFormatting>
  <conditionalFormatting sqref="F8:F9">
    <cfRule type="expression" priority="22" dxfId="886" stopIfTrue="1">
      <formula>$F$11=49</formula>
    </cfRule>
    <cfRule type="expression" priority="23" dxfId="884" stopIfTrue="1">
      <formula>$E$7=33</formula>
    </cfRule>
  </conditionalFormatting>
  <conditionalFormatting sqref="F24:F30">
    <cfRule type="expression" priority="24" dxfId="886" stopIfTrue="1">
      <formula>$F$27=50</formula>
    </cfRule>
  </conditionalFormatting>
  <conditionalFormatting sqref="F40:F46">
    <cfRule type="expression" priority="25" dxfId="886" stopIfTrue="1">
      <formula>$F$43=51</formula>
    </cfRule>
  </conditionalFormatting>
  <conditionalFormatting sqref="F56:F62">
    <cfRule type="expression" priority="26" dxfId="887" stopIfTrue="1">
      <formula>$F$59=52</formula>
    </cfRule>
  </conditionalFormatting>
  <conditionalFormatting sqref="F74:F80">
    <cfRule type="expression" priority="27" dxfId="886" stopIfTrue="1">
      <formula>$F$77=53</formula>
    </cfRule>
  </conditionalFormatting>
  <conditionalFormatting sqref="F90:F96">
    <cfRule type="expression" priority="28" dxfId="886" stopIfTrue="1">
      <formula>$F$93=54</formula>
    </cfRule>
  </conditionalFormatting>
  <conditionalFormatting sqref="F106:F112">
    <cfRule type="expression" priority="29" dxfId="886" stopIfTrue="1">
      <formula>$F$109=55</formula>
    </cfRule>
  </conditionalFormatting>
  <conditionalFormatting sqref="F122:F128">
    <cfRule type="expression" priority="30" dxfId="887"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888"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889"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333" stopIfTrue="1">
      <formula>$A$136=65</formula>
    </cfRule>
  </conditionalFormatting>
  <conditionalFormatting sqref="E138:E140 E146:E148 E154:E156 F140:F146 F156:F162 E162:E164 E170:E172 F172:F178 E178:E180 E186:E188 F188:F194 E194:E196">
    <cfRule type="expression" priority="34" dxfId="886"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33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888"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889" stopIfTrue="1">
      <formula>$A$202=97</formula>
    </cfRule>
  </conditionalFormatting>
  <conditionalFormatting sqref="E204:E206 F206:F212 E212:E214 E220:E222 E228:E230 F222:F228 E236:E238 E244:E246 F238:F244 E252:E254 E260:E262 F254:F260">
    <cfRule type="expression" priority="38" dxfId="886" stopIfTrue="1">
      <formula>$A$202=97</formula>
    </cfRule>
  </conditionalFormatting>
  <conditionalFormatting sqref="A199:H199">
    <cfRule type="expression" priority="39" dxfId="11" stopIfTrue="1">
      <formula>$A$202=97</formula>
    </cfRule>
  </conditionalFormatting>
  <conditionalFormatting sqref="A133:H133">
    <cfRule type="expression" priority="40" dxfId="11" stopIfTrue="1">
      <formula>$A$136=65</formula>
    </cfRule>
  </conditionalFormatting>
  <conditionalFormatting sqref="H151">
    <cfRule type="expression" priority="41" dxfId="890" stopIfTrue="1">
      <formula>$G$151=117</formula>
    </cfRule>
  </conditionalFormatting>
  <conditionalFormatting sqref="H183">
    <cfRule type="expression" priority="42" dxfId="890" stopIfTrue="1">
      <formula>$G$183=118</formula>
    </cfRule>
  </conditionalFormatting>
  <conditionalFormatting sqref="H217">
    <cfRule type="expression" priority="43" dxfId="890" stopIfTrue="1">
      <formula>$G$217=119</formula>
    </cfRule>
  </conditionalFormatting>
  <conditionalFormatting sqref="H249">
    <cfRule type="expression" priority="44" dxfId="890" stopIfTrue="1">
      <formula>$G$249=120</formula>
    </cfRule>
  </conditionalFormatting>
  <conditionalFormatting sqref="G11">
    <cfRule type="expression" priority="45" dxfId="891" stopIfTrue="1">
      <formula>$G$19=113</formula>
    </cfRule>
    <cfRule type="expression" priority="46" dxfId="890" stopIfTrue="1">
      <formula>$F$11=97</formula>
    </cfRule>
    <cfRule type="expression" priority="47" dxfId="892" stopIfTrue="1">
      <formula>$F$11=49</formula>
    </cfRule>
  </conditionalFormatting>
  <conditionalFormatting sqref="G27">
    <cfRule type="expression" priority="48" dxfId="891" stopIfTrue="1">
      <formula>$G$19=113</formula>
    </cfRule>
    <cfRule type="expression" priority="49" dxfId="890" stopIfTrue="1">
      <formula>$F$27=98</formula>
    </cfRule>
    <cfRule type="expression" priority="50" dxfId="892" stopIfTrue="1">
      <formula>$F$27=50</formula>
    </cfRule>
  </conditionalFormatting>
  <conditionalFormatting sqref="G43">
    <cfRule type="expression" priority="51" dxfId="893" stopIfTrue="1">
      <formula>$G$51=114</formula>
    </cfRule>
    <cfRule type="expression" priority="52" dxfId="890" stopIfTrue="1">
      <formula>$F$43=99</formula>
    </cfRule>
    <cfRule type="expression" priority="53" dxfId="892" stopIfTrue="1">
      <formula>$F$43=51</formula>
    </cfRule>
  </conditionalFormatting>
  <conditionalFormatting sqref="G59">
    <cfRule type="expression" priority="54" dxfId="891" stopIfTrue="1">
      <formula>$G$51=114</formula>
    </cfRule>
    <cfRule type="expression" priority="55" dxfId="890" stopIfTrue="1">
      <formula>$F$59=100</formula>
    </cfRule>
    <cfRule type="expression" priority="56" dxfId="892" stopIfTrue="1">
      <formula>$F$59=52</formula>
    </cfRule>
  </conditionalFormatting>
  <conditionalFormatting sqref="G77">
    <cfRule type="expression" priority="57" dxfId="891" stopIfTrue="1">
      <formula>$G$85=115</formula>
    </cfRule>
    <cfRule type="expression" priority="58" dxfId="890" stopIfTrue="1">
      <formula>$F$77=101</formula>
    </cfRule>
    <cfRule type="expression" priority="59" dxfId="892" stopIfTrue="1">
      <formula>$F$77=53</formula>
    </cfRule>
  </conditionalFormatting>
  <conditionalFormatting sqref="G93">
    <cfRule type="expression" priority="60" dxfId="891" stopIfTrue="1">
      <formula>$G$85=115</formula>
    </cfRule>
    <cfRule type="expression" priority="61" dxfId="890" stopIfTrue="1">
      <formula>$F$93=102</formula>
    </cfRule>
    <cfRule type="expression" priority="62" dxfId="892" stopIfTrue="1">
      <formula>$F$93=54</formula>
    </cfRule>
  </conditionalFormatting>
  <conditionalFormatting sqref="G109">
    <cfRule type="expression" priority="63" dxfId="891" stopIfTrue="1">
      <formula>$G$117=116</formula>
    </cfRule>
    <cfRule type="expression" priority="64" dxfId="890" stopIfTrue="1">
      <formula>$F$109=103</formula>
    </cfRule>
    <cfRule type="expression" priority="65" dxfId="892" stopIfTrue="1">
      <formula>$F$109=55</formula>
    </cfRule>
  </conditionalFormatting>
  <conditionalFormatting sqref="G125">
    <cfRule type="expression" priority="66" dxfId="891" stopIfTrue="1">
      <formula>$G$117=116</formula>
    </cfRule>
    <cfRule type="expression" priority="67" dxfId="890" stopIfTrue="1">
      <formula>$F$125=104</formula>
    </cfRule>
    <cfRule type="expression" priority="68" dxfId="892" stopIfTrue="1">
      <formula>$F$125=56</formula>
    </cfRule>
  </conditionalFormatting>
  <conditionalFormatting sqref="G143">
    <cfRule type="expression" priority="69" dxfId="888" stopIfTrue="1">
      <formula>$G$151=117</formula>
    </cfRule>
    <cfRule type="expression" priority="70" dxfId="892" stopIfTrue="1">
      <formula>$F$143=105</formula>
    </cfRule>
  </conditionalFormatting>
  <conditionalFormatting sqref="G159">
    <cfRule type="expression" priority="71" dxfId="888" stopIfTrue="1">
      <formula>$G$151=117</formula>
    </cfRule>
    <cfRule type="expression" priority="72" dxfId="892" stopIfTrue="1">
      <formula>$F$159=106</formula>
    </cfRule>
  </conditionalFormatting>
  <conditionalFormatting sqref="G175">
    <cfRule type="expression" priority="73" dxfId="888" stopIfTrue="1">
      <formula>$G$183=118</formula>
    </cfRule>
    <cfRule type="expression" priority="74" dxfId="892" stopIfTrue="1">
      <formula>$F$175=107</formula>
    </cfRule>
  </conditionalFormatting>
  <conditionalFormatting sqref="G191">
    <cfRule type="expression" priority="75" dxfId="888" stopIfTrue="1">
      <formula>$G$183=118</formula>
    </cfRule>
    <cfRule type="expression" priority="76" dxfId="892" stopIfTrue="1">
      <formula>$F$191=108</formula>
    </cfRule>
  </conditionalFormatting>
  <conditionalFormatting sqref="G209">
    <cfRule type="expression" priority="77" dxfId="888" stopIfTrue="1">
      <formula>$G$217=119</formula>
    </cfRule>
    <cfRule type="expression" priority="78" dxfId="892" stopIfTrue="1">
      <formula>$F$209=109</formula>
    </cfRule>
  </conditionalFormatting>
  <conditionalFormatting sqref="G225">
    <cfRule type="expression" priority="79" dxfId="888" stopIfTrue="1">
      <formula>$G$217=119</formula>
    </cfRule>
    <cfRule type="expression" priority="80" dxfId="892" stopIfTrue="1">
      <formula>$F$225=110</formula>
    </cfRule>
  </conditionalFormatting>
  <conditionalFormatting sqref="G241">
    <cfRule type="expression" priority="81" dxfId="888" stopIfTrue="1">
      <formula>$G$249=120</formula>
    </cfRule>
    <cfRule type="expression" priority="82" dxfId="892" stopIfTrue="1">
      <formula>$F$241=111</formula>
    </cfRule>
  </conditionalFormatting>
  <conditionalFormatting sqref="G257">
    <cfRule type="expression" priority="83" dxfId="888" stopIfTrue="1">
      <formula>$G$249=120</formula>
    </cfRule>
    <cfRule type="expression" priority="84" dxfId="892" stopIfTrue="1">
      <formula>$F$257=112</formula>
    </cfRule>
  </conditionalFormatting>
  <conditionalFormatting sqref="F7">
    <cfRule type="expression" priority="85" dxfId="894" stopIfTrue="1">
      <formula>$F$11=49</formula>
    </cfRule>
    <cfRule type="expression" priority="86" dxfId="895" stopIfTrue="1">
      <formula>$E$7=33</formula>
    </cfRule>
    <cfRule type="expression" priority="87" dxfId="888" stopIfTrue="1">
      <formula>$F$11=97</formula>
    </cfRule>
  </conditionalFormatting>
  <conditionalFormatting sqref="F15">
    <cfRule type="expression" priority="88" dxfId="889" stopIfTrue="1">
      <formula>$F$11=49</formula>
    </cfRule>
    <cfRule type="expression" priority="89" dxfId="892" stopIfTrue="1">
      <formula>$E$15=34</formula>
    </cfRule>
    <cfRule type="expression" priority="90" dxfId="888" stopIfTrue="1">
      <formula>$F$11=97</formula>
    </cfRule>
  </conditionalFormatting>
  <conditionalFormatting sqref="F23">
    <cfRule type="expression" priority="91" dxfId="888" stopIfTrue="1">
      <formula>$F$27=50</formula>
    </cfRule>
    <cfRule type="expression" priority="92" dxfId="892" stopIfTrue="1">
      <formula>$E$23=35</formula>
    </cfRule>
  </conditionalFormatting>
  <conditionalFormatting sqref="F31">
    <cfRule type="expression" priority="93" dxfId="889" stopIfTrue="1">
      <formula>$F$27=50</formula>
    </cfRule>
    <cfRule type="expression" priority="94" dxfId="892" stopIfTrue="1">
      <formula>$E$31=36</formula>
    </cfRule>
  </conditionalFormatting>
  <conditionalFormatting sqref="F39">
    <cfRule type="expression" priority="95" dxfId="888" stopIfTrue="1">
      <formula>$F$43=51</formula>
    </cfRule>
    <cfRule type="expression" priority="96" dxfId="892" stopIfTrue="1">
      <formula>$E$39=37</formula>
    </cfRule>
  </conditionalFormatting>
  <conditionalFormatting sqref="F47">
    <cfRule type="expression" priority="97" dxfId="889" stopIfTrue="1">
      <formula>$F$43=51</formula>
    </cfRule>
    <cfRule type="expression" priority="98" dxfId="892" stopIfTrue="1">
      <formula>$E$47=38</formula>
    </cfRule>
  </conditionalFormatting>
  <conditionalFormatting sqref="F55">
    <cfRule type="expression" priority="99" dxfId="888" stopIfTrue="1">
      <formula>$F$59=52</formula>
    </cfRule>
    <cfRule type="expression" priority="100" dxfId="892" stopIfTrue="1">
      <formula>$E$55=39</formula>
    </cfRule>
  </conditionalFormatting>
  <conditionalFormatting sqref="F63">
    <cfRule type="expression" priority="101" dxfId="889" stopIfTrue="1">
      <formula>$F$59=52</formula>
    </cfRule>
    <cfRule type="expression" priority="102" dxfId="892" stopIfTrue="1">
      <formula>$E$63=40</formula>
    </cfRule>
  </conditionalFormatting>
  <conditionalFormatting sqref="F73">
    <cfRule type="expression" priority="103" dxfId="888" stopIfTrue="1">
      <formula>$F$77=53</formula>
    </cfRule>
    <cfRule type="expression" priority="104" dxfId="892" stopIfTrue="1">
      <formula>$E$73=41</formula>
    </cfRule>
  </conditionalFormatting>
  <conditionalFormatting sqref="F81">
    <cfRule type="expression" priority="105" dxfId="889" stopIfTrue="1">
      <formula>$F$77=53</formula>
    </cfRule>
    <cfRule type="expression" priority="106" dxfId="892" stopIfTrue="1">
      <formula>$E$81=42</formula>
    </cfRule>
  </conditionalFormatting>
  <conditionalFormatting sqref="F89">
    <cfRule type="expression" priority="107" dxfId="888" stopIfTrue="1">
      <formula>$F$93=54</formula>
    </cfRule>
    <cfRule type="expression" priority="108" dxfId="892" stopIfTrue="1">
      <formula>$E$89=43</formula>
    </cfRule>
  </conditionalFormatting>
  <conditionalFormatting sqref="F97">
    <cfRule type="expression" priority="109" dxfId="889" stopIfTrue="1">
      <formula>$F$93=54</formula>
    </cfRule>
    <cfRule type="expression" priority="110" dxfId="892" stopIfTrue="1">
      <formula>$E$97=44</formula>
    </cfRule>
  </conditionalFormatting>
  <conditionalFormatting sqref="F105">
    <cfRule type="expression" priority="111" dxfId="888" stopIfTrue="1">
      <formula>$F$109=55</formula>
    </cfRule>
    <cfRule type="expression" priority="112" dxfId="892" stopIfTrue="1">
      <formula>$E$105=45</formula>
    </cfRule>
  </conditionalFormatting>
  <conditionalFormatting sqref="F113">
    <cfRule type="expression" priority="113" dxfId="889" stopIfTrue="1">
      <formula>$F$109=55</formula>
    </cfRule>
    <cfRule type="expression" priority="114" dxfId="892" stopIfTrue="1">
      <formula>$E$113=46</formula>
    </cfRule>
  </conditionalFormatting>
  <conditionalFormatting sqref="F121">
    <cfRule type="expression" priority="115" dxfId="888" stopIfTrue="1">
      <formula>$F$125=56</formula>
    </cfRule>
    <cfRule type="expression" priority="116" dxfId="892" stopIfTrue="1">
      <formula>$E$121=47</formula>
    </cfRule>
  </conditionalFormatting>
  <conditionalFormatting sqref="F129">
    <cfRule type="expression" priority="117" dxfId="889" stopIfTrue="1">
      <formula>$F$125=56</formula>
    </cfRule>
    <cfRule type="expression" priority="118" dxfId="892" stopIfTrue="1">
      <formula>$E$129=48</formula>
    </cfRule>
  </conditionalFormatting>
  <printOptions horizontalCentered="1" verticalCentered="1"/>
  <pageMargins left="0" right="0" top="0" bottom="0.5905511811023623" header="0" footer="0"/>
  <pageSetup fitToHeight="0" horizontalDpi="600" verticalDpi="600" orientation="portrait" paperSize="245" scale="90"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Malik</dc:creator>
  <cp:keywords/>
  <dc:description/>
  <cp:lastModifiedBy>Martin</cp:lastModifiedBy>
  <dcterms:created xsi:type="dcterms:W3CDTF">2015-11-21T20:52:10Z</dcterms:created>
  <dcterms:modified xsi:type="dcterms:W3CDTF">2015-11-22T20:40:14Z</dcterms:modified>
  <cp:category/>
  <cp:version/>
  <cp:contentType/>
  <cp:contentStatus/>
</cp:coreProperties>
</file>