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C:\Users\dsvkrv00\Desktop\Pinec\Turnaje\Sezona2021-2022\Kraj\"/>
    </mc:Choice>
  </mc:AlternateContent>
  <xr:revisionPtr revIDLastSave="0" documentId="13_ncr:1_{10AB8D22-543C-4D86-A9FD-4E692246450D}" xr6:coauthVersionLast="47" xr6:coauthVersionMax="47" xr10:uidLastSave="{00000000-0000-0000-0000-000000000000}"/>
  <bookViews>
    <workbookView xWindow="-120" yWindow="-120" windowWidth="29040" windowHeight="15840" tabRatio="930" activeTab="10" xr2:uid="{00000000-000D-0000-FFFF-FFFF00000000}"/>
  </bookViews>
  <sheets>
    <sheet name="prezentace" sheetId="16" r:id="rId1"/>
    <sheet name="1-los" sheetId="22" r:id="rId2"/>
    <sheet name="1-zapasy" sheetId="23" r:id="rId3"/>
    <sheet name="1-tabulky" sheetId="32" r:id="rId4"/>
    <sheet name="1-lístky" sheetId="67" r:id="rId5"/>
    <sheet name="1-lístky-volne" sheetId="24" r:id="rId6"/>
    <sheet name="A-12H-pavouk" sheetId="53" state="hidden" r:id="rId7"/>
    <sheet name="A-12H-lístky" sheetId="54" state="hidden" r:id="rId8"/>
    <sheet name="A-12D-pavouk" sheetId="55" state="hidden" r:id="rId9"/>
    <sheet name="A-12D-lístky" sheetId="56" state="hidden" r:id="rId10"/>
    <sheet name="A-16H-pavouk" sheetId="49" r:id="rId11"/>
    <sheet name="A-16H-lístky" sheetId="50" r:id="rId12"/>
    <sheet name="A-16D-pavouk" sheetId="51" r:id="rId13"/>
    <sheet name="A-16D-lístky" sheetId="52" r:id="rId14"/>
    <sheet name="B-8H-pavouk" sheetId="63" state="hidden" r:id="rId15"/>
    <sheet name="B-8H-lístky" sheetId="64" state="hidden" r:id="rId16"/>
    <sheet name="B-8D-pavouk" sheetId="65" state="hidden" r:id="rId17"/>
    <sheet name="B-8D-lístky" sheetId="66" state="hidden" r:id="rId18"/>
    <sheet name="B-16H-pavouk" sheetId="34" state="hidden" r:id="rId19"/>
    <sheet name="B-16H-lístky" sheetId="37" state="hidden" r:id="rId20"/>
    <sheet name="B-16D-pavouk" sheetId="46" state="hidden" r:id="rId21"/>
    <sheet name="B-16D-lístky" sheetId="47" state="hidden" r:id="rId22"/>
    <sheet name="B-32H-pavouk" sheetId="57" state="hidden" r:id="rId23"/>
    <sheet name="B-32H-lístky" sheetId="58" state="hidden" r:id="rId24"/>
    <sheet name="B-32D-pavouk" sheetId="61" state="hidden" r:id="rId25"/>
    <sheet name="B-32D-lístky" sheetId="62" state="hidden" r:id="rId26"/>
    <sheet name="Volne-lístky" sheetId="48" state="hidden" r:id="rId27"/>
    <sheet name="2-los" sheetId="26" state="hidden" r:id="rId28"/>
    <sheet name="2-zapasy" sheetId="10" state="hidden" r:id="rId29"/>
    <sheet name="2-lístky" sheetId="19" state="hidden" r:id="rId30"/>
    <sheet name="3-los" sheetId="5" state="hidden" r:id="rId31"/>
    <sheet name="3-zapasy" sheetId="6" state="hidden" r:id="rId32"/>
    <sheet name="3-lístky" sheetId="20" state="hidden" r:id="rId33"/>
    <sheet name="4-zapasy" sheetId="3" state="hidden" r:id="rId34"/>
    <sheet name="4-pavouk" sheetId="1" state="hidden" r:id="rId35"/>
    <sheet name="4-lístky" sheetId="21" state="hidden" r:id="rId36"/>
    <sheet name="pořadí" sheetId="2" state="hidden" r:id="rId37"/>
    <sheet name="TIMING" sheetId="15" state="hidden" r:id="rId38"/>
    <sheet name="calc1" sheetId="25" state="hidden" r:id="rId39"/>
    <sheet name="calc3" sheetId="8" state="hidden" r:id="rId40"/>
    <sheet name="Bergerovy tabulky" sheetId="39" state="hidden" r:id="rId41"/>
  </sheets>
  <definedNames>
    <definedName name="__xlnm.Print_Area_10" localSheetId="9">#REF!</definedName>
    <definedName name="__xlnm.Print_Area_10" localSheetId="7">#REF!</definedName>
    <definedName name="__xlnm.Print_Area_10" localSheetId="13">#REF!</definedName>
    <definedName name="__xlnm.Print_Area_10" localSheetId="11">#REF!</definedName>
    <definedName name="__xlnm.Print_Area_10" localSheetId="21">#REF!</definedName>
    <definedName name="__xlnm.Print_Area_10" localSheetId="19">#REF!</definedName>
    <definedName name="__xlnm.Print_Area_10" localSheetId="25">#REF!</definedName>
    <definedName name="__xlnm.Print_Area_10" localSheetId="24">#REF!</definedName>
    <definedName name="__xlnm.Print_Area_10" localSheetId="23">#REF!</definedName>
    <definedName name="__xlnm.Print_Area_10" localSheetId="22">#REF!</definedName>
    <definedName name="__xlnm.Print_Area_10" localSheetId="17">#REF!</definedName>
    <definedName name="__xlnm.Print_Area_10" localSheetId="15">#REF!</definedName>
    <definedName name="__xlnm.Print_Area_10" localSheetId="26">#REF!</definedName>
    <definedName name="__xlnm.Print_Area_10">#REF!</definedName>
    <definedName name="__xlnm.Print_Area_11" localSheetId="9">#REF!</definedName>
    <definedName name="__xlnm.Print_Area_11" localSheetId="7">#REF!</definedName>
    <definedName name="__xlnm.Print_Area_11" localSheetId="13">#REF!</definedName>
    <definedName name="__xlnm.Print_Area_11" localSheetId="11">#REF!</definedName>
    <definedName name="__xlnm.Print_Area_11" localSheetId="21">#REF!</definedName>
    <definedName name="__xlnm.Print_Area_11" localSheetId="19">#REF!</definedName>
    <definedName name="__xlnm.Print_Area_11" localSheetId="25">#REF!</definedName>
    <definedName name="__xlnm.Print_Area_11" localSheetId="24">#REF!</definedName>
    <definedName name="__xlnm.Print_Area_11" localSheetId="23">#REF!</definedName>
    <definedName name="__xlnm.Print_Area_11" localSheetId="22">#REF!</definedName>
    <definedName name="__xlnm.Print_Area_11" localSheetId="17">#REF!</definedName>
    <definedName name="__xlnm.Print_Area_11" localSheetId="15">#REF!</definedName>
    <definedName name="__xlnm.Print_Area_11" localSheetId="26">#REF!</definedName>
    <definedName name="__xlnm.Print_Area_11">#REF!</definedName>
    <definedName name="__xlnm.Print_Area_13" localSheetId="9">#REF!</definedName>
    <definedName name="__xlnm.Print_Area_13" localSheetId="7">#REF!</definedName>
    <definedName name="__xlnm.Print_Area_13" localSheetId="13">#REF!</definedName>
    <definedName name="__xlnm.Print_Area_13" localSheetId="11">#REF!</definedName>
    <definedName name="__xlnm.Print_Area_13" localSheetId="21">#REF!</definedName>
    <definedName name="__xlnm.Print_Area_13" localSheetId="19">#REF!</definedName>
    <definedName name="__xlnm.Print_Area_13" localSheetId="25">#REF!</definedName>
    <definedName name="__xlnm.Print_Area_13" localSheetId="24">#REF!</definedName>
    <definedName name="__xlnm.Print_Area_13" localSheetId="23">#REF!</definedName>
    <definedName name="__xlnm.Print_Area_13" localSheetId="22">#REF!</definedName>
    <definedName name="__xlnm.Print_Area_13" localSheetId="17">#REF!</definedName>
    <definedName name="__xlnm.Print_Area_13" localSheetId="15">#REF!</definedName>
    <definedName name="__xlnm.Print_Area_13" localSheetId="26">#REF!</definedName>
    <definedName name="__xlnm.Print_Area_13">#REF!</definedName>
    <definedName name="__xlnm.Print_Area_14" localSheetId="9">#REF!</definedName>
    <definedName name="__xlnm.Print_Area_14" localSheetId="7">#REF!</definedName>
    <definedName name="__xlnm.Print_Area_14" localSheetId="13">#REF!</definedName>
    <definedName name="__xlnm.Print_Area_14" localSheetId="11">#REF!</definedName>
    <definedName name="__xlnm.Print_Area_14" localSheetId="21">#REF!</definedName>
    <definedName name="__xlnm.Print_Area_14" localSheetId="19">#REF!</definedName>
    <definedName name="__xlnm.Print_Area_14" localSheetId="25">#REF!</definedName>
    <definedName name="__xlnm.Print_Area_14" localSheetId="24">#REF!</definedName>
    <definedName name="__xlnm.Print_Area_14" localSheetId="23">#REF!</definedName>
    <definedName name="__xlnm.Print_Area_14" localSheetId="22">#REF!</definedName>
    <definedName name="__xlnm.Print_Area_14" localSheetId="17">#REF!</definedName>
    <definedName name="__xlnm.Print_Area_14" localSheetId="15">#REF!</definedName>
    <definedName name="__xlnm.Print_Area_14" localSheetId="26">#REF!</definedName>
    <definedName name="__xlnm.Print_Area_14">#REF!</definedName>
    <definedName name="__xlnm.Print_Area_17" localSheetId="9">#REF!</definedName>
    <definedName name="__xlnm.Print_Area_17" localSheetId="7">#REF!</definedName>
    <definedName name="__xlnm.Print_Area_17" localSheetId="13">#REF!</definedName>
    <definedName name="__xlnm.Print_Area_17" localSheetId="11">#REF!</definedName>
    <definedName name="__xlnm.Print_Area_17" localSheetId="21">#REF!</definedName>
    <definedName name="__xlnm.Print_Area_17" localSheetId="19">#REF!</definedName>
    <definedName name="__xlnm.Print_Area_17" localSheetId="25">#REF!</definedName>
    <definedName name="__xlnm.Print_Area_17" localSheetId="24">#REF!</definedName>
    <definedName name="__xlnm.Print_Area_17" localSheetId="23">#REF!</definedName>
    <definedName name="__xlnm.Print_Area_17" localSheetId="22">#REF!</definedName>
    <definedName name="__xlnm.Print_Area_17" localSheetId="17">#REF!</definedName>
    <definedName name="__xlnm.Print_Area_17" localSheetId="15">#REF!</definedName>
    <definedName name="__xlnm.Print_Area_17" localSheetId="26">#REF!</definedName>
    <definedName name="__xlnm.Print_Area_17">#REF!</definedName>
    <definedName name="__xlnm.Print_Area_36" localSheetId="9">#REF!</definedName>
    <definedName name="__xlnm.Print_Area_36" localSheetId="7">#REF!</definedName>
    <definedName name="__xlnm.Print_Area_36" localSheetId="13">#REF!</definedName>
    <definedName name="__xlnm.Print_Area_36" localSheetId="11">#REF!</definedName>
    <definedName name="__xlnm.Print_Area_36" localSheetId="21">#REF!</definedName>
    <definedName name="__xlnm.Print_Area_36" localSheetId="19">#REF!</definedName>
    <definedName name="__xlnm.Print_Area_36" localSheetId="25">#REF!</definedName>
    <definedName name="__xlnm.Print_Area_36" localSheetId="24">#REF!</definedName>
    <definedName name="__xlnm.Print_Area_36" localSheetId="23">#REF!</definedName>
    <definedName name="__xlnm.Print_Area_36" localSheetId="22">#REF!</definedName>
    <definedName name="__xlnm.Print_Area_36" localSheetId="17">#REF!</definedName>
    <definedName name="__xlnm.Print_Area_36" localSheetId="15">#REF!</definedName>
    <definedName name="__xlnm.Print_Area_36" localSheetId="26">#REF!</definedName>
    <definedName name="__xlnm.Print_Area_36">#REF!</definedName>
    <definedName name="__xlnm.Print_Area_38" localSheetId="9">#REF!</definedName>
    <definedName name="__xlnm.Print_Area_38" localSheetId="7">#REF!</definedName>
    <definedName name="__xlnm.Print_Area_38" localSheetId="13">#REF!</definedName>
    <definedName name="__xlnm.Print_Area_38" localSheetId="11">#REF!</definedName>
    <definedName name="__xlnm.Print_Area_38" localSheetId="21">#REF!</definedName>
    <definedName name="__xlnm.Print_Area_38" localSheetId="19">#REF!</definedName>
    <definedName name="__xlnm.Print_Area_38" localSheetId="25">#REF!</definedName>
    <definedName name="__xlnm.Print_Area_38" localSheetId="24">#REF!</definedName>
    <definedName name="__xlnm.Print_Area_38" localSheetId="23">#REF!</definedName>
    <definedName name="__xlnm.Print_Area_38" localSheetId="22">#REF!</definedName>
    <definedName name="__xlnm.Print_Area_38" localSheetId="17">#REF!</definedName>
    <definedName name="__xlnm.Print_Area_38" localSheetId="15">#REF!</definedName>
    <definedName name="__xlnm.Print_Area_38" localSheetId="26">#REF!</definedName>
    <definedName name="__xlnm.Print_Area_38">#REF!</definedName>
    <definedName name="__xlnm.Print_Area_40" localSheetId="9">#REF!</definedName>
    <definedName name="__xlnm.Print_Area_40" localSheetId="7">#REF!</definedName>
    <definedName name="__xlnm.Print_Area_40" localSheetId="13">#REF!</definedName>
    <definedName name="__xlnm.Print_Area_40" localSheetId="11">#REF!</definedName>
    <definedName name="__xlnm.Print_Area_40" localSheetId="21">#REF!</definedName>
    <definedName name="__xlnm.Print_Area_40" localSheetId="19">#REF!</definedName>
    <definedName name="__xlnm.Print_Area_40" localSheetId="25">#REF!</definedName>
    <definedName name="__xlnm.Print_Area_40" localSheetId="24">#REF!</definedName>
    <definedName name="__xlnm.Print_Area_40" localSheetId="23">#REF!</definedName>
    <definedName name="__xlnm.Print_Area_40" localSheetId="22">#REF!</definedName>
    <definedName name="__xlnm.Print_Area_40" localSheetId="17">#REF!</definedName>
    <definedName name="__xlnm.Print_Area_40" localSheetId="15">#REF!</definedName>
    <definedName name="__xlnm.Print_Area_40" localSheetId="26">#REF!</definedName>
    <definedName name="__xlnm.Print_Area_40">#REF!</definedName>
    <definedName name="__xlnm.Print_Area_43" localSheetId="9">#REF!</definedName>
    <definedName name="__xlnm.Print_Area_43" localSheetId="7">#REF!</definedName>
    <definedName name="__xlnm.Print_Area_43" localSheetId="13">#REF!</definedName>
    <definedName name="__xlnm.Print_Area_43" localSheetId="11">#REF!</definedName>
    <definedName name="__xlnm.Print_Area_43" localSheetId="21">#REF!</definedName>
    <definedName name="__xlnm.Print_Area_43" localSheetId="19">#REF!</definedName>
    <definedName name="__xlnm.Print_Area_43" localSheetId="25">#REF!</definedName>
    <definedName name="__xlnm.Print_Area_43" localSheetId="24">#REF!</definedName>
    <definedName name="__xlnm.Print_Area_43" localSheetId="23">#REF!</definedName>
    <definedName name="__xlnm.Print_Area_43" localSheetId="22">#REF!</definedName>
    <definedName name="__xlnm.Print_Area_43" localSheetId="17">#REF!</definedName>
    <definedName name="__xlnm.Print_Area_43" localSheetId="15">#REF!</definedName>
    <definedName name="__xlnm.Print_Area_43" localSheetId="26">#REF!</definedName>
    <definedName name="__xlnm.Print_Area_43">#REF!</definedName>
    <definedName name="__xlnm.Print_Area_7" localSheetId="9">#REF!</definedName>
    <definedName name="__xlnm.Print_Area_7" localSheetId="7">#REF!</definedName>
    <definedName name="__xlnm.Print_Area_7" localSheetId="13">#REF!</definedName>
    <definedName name="__xlnm.Print_Area_7" localSheetId="11">#REF!</definedName>
    <definedName name="__xlnm.Print_Area_7" localSheetId="21">#REF!</definedName>
    <definedName name="__xlnm.Print_Area_7" localSheetId="19">#REF!</definedName>
    <definedName name="__xlnm.Print_Area_7" localSheetId="25">#REF!</definedName>
    <definedName name="__xlnm.Print_Area_7" localSheetId="24">#REF!</definedName>
    <definedName name="__xlnm.Print_Area_7" localSheetId="23">#REF!</definedName>
    <definedName name="__xlnm.Print_Area_7" localSheetId="22">#REF!</definedName>
    <definedName name="__xlnm.Print_Area_7" localSheetId="17">#REF!</definedName>
    <definedName name="__xlnm.Print_Area_7" localSheetId="15">#REF!</definedName>
    <definedName name="__xlnm.Print_Area_7" localSheetId="26">#REF!</definedName>
    <definedName name="__xlnm.Print_Area_7">#REF!</definedName>
    <definedName name="__xlnm.Print_Area_8" localSheetId="9">#REF!</definedName>
    <definedName name="__xlnm.Print_Area_8" localSheetId="7">#REF!</definedName>
    <definedName name="__xlnm.Print_Area_8" localSheetId="13">#REF!</definedName>
    <definedName name="__xlnm.Print_Area_8" localSheetId="11">#REF!</definedName>
    <definedName name="__xlnm.Print_Area_8" localSheetId="21">#REF!</definedName>
    <definedName name="__xlnm.Print_Area_8" localSheetId="19">#REF!</definedName>
    <definedName name="__xlnm.Print_Area_8" localSheetId="25">#REF!</definedName>
    <definedName name="__xlnm.Print_Area_8" localSheetId="24">#REF!</definedName>
    <definedName name="__xlnm.Print_Area_8" localSheetId="23">#REF!</definedName>
    <definedName name="__xlnm.Print_Area_8" localSheetId="22">#REF!</definedName>
    <definedName name="__xlnm.Print_Area_8" localSheetId="17">#REF!</definedName>
    <definedName name="__xlnm.Print_Area_8" localSheetId="15">#REF!</definedName>
    <definedName name="__xlnm.Print_Area_8" localSheetId="26">#REF!</definedName>
    <definedName name="__xlnm.Print_Area_8">#REF!</definedName>
    <definedName name="__xlnm.Print_Area_9" localSheetId="9">#REF!</definedName>
    <definedName name="__xlnm.Print_Area_9" localSheetId="7">#REF!</definedName>
    <definedName name="__xlnm.Print_Area_9" localSheetId="13">#REF!</definedName>
    <definedName name="__xlnm.Print_Area_9" localSheetId="11">#REF!</definedName>
    <definedName name="__xlnm.Print_Area_9" localSheetId="21">#REF!</definedName>
    <definedName name="__xlnm.Print_Area_9" localSheetId="19">#REF!</definedName>
    <definedName name="__xlnm.Print_Area_9" localSheetId="25">#REF!</definedName>
    <definedName name="__xlnm.Print_Area_9" localSheetId="24">#REF!</definedName>
    <definedName name="__xlnm.Print_Area_9" localSheetId="23">#REF!</definedName>
    <definedName name="__xlnm.Print_Area_9" localSheetId="22">#REF!</definedName>
    <definedName name="__xlnm.Print_Area_9" localSheetId="17">#REF!</definedName>
    <definedName name="__xlnm.Print_Area_9" localSheetId="15">#REF!</definedName>
    <definedName name="__xlnm.Print_Area_9" localSheetId="26">#REF!</definedName>
    <definedName name="__xlnm.Print_Area_9">#REF!</definedName>
    <definedName name="__xlnm.Print_Titles_16">NA()</definedName>
    <definedName name="_xlnm._FilterDatabase" localSheetId="0" hidden="1">prezentace!$A$1:$G$1</definedName>
    <definedName name="_test" localSheetId="9">#REF!</definedName>
    <definedName name="_test" localSheetId="7">#REF!</definedName>
    <definedName name="_test" localSheetId="13">#REF!</definedName>
    <definedName name="_test" localSheetId="11">#REF!</definedName>
    <definedName name="_test" localSheetId="21">#REF!</definedName>
    <definedName name="_test" localSheetId="19">#REF!</definedName>
    <definedName name="_test" localSheetId="25">#REF!</definedName>
    <definedName name="_test" localSheetId="24">#REF!</definedName>
    <definedName name="_test" localSheetId="23">#REF!</definedName>
    <definedName name="_test" localSheetId="22">#REF!</definedName>
    <definedName name="_test" localSheetId="17">#REF!</definedName>
    <definedName name="_test" localSheetId="15">#REF!</definedName>
    <definedName name="_test" localSheetId="26">#REF!</definedName>
    <definedName name="_test">#REF!</definedName>
    <definedName name="Excel_BuiltIn_Print_Area_6" localSheetId="9">#REF!</definedName>
    <definedName name="Excel_BuiltIn_Print_Area_6" localSheetId="7">#REF!</definedName>
    <definedName name="Excel_BuiltIn_Print_Area_6" localSheetId="13">#REF!</definedName>
    <definedName name="Excel_BuiltIn_Print_Area_6" localSheetId="11">#REF!</definedName>
    <definedName name="Excel_BuiltIn_Print_Area_6" localSheetId="21">#REF!</definedName>
    <definedName name="Excel_BuiltIn_Print_Area_6" localSheetId="19">#REF!</definedName>
    <definedName name="Excel_BuiltIn_Print_Area_6" localSheetId="25">#REF!</definedName>
    <definedName name="Excel_BuiltIn_Print_Area_6" localSheetId="24">#REF!</definedName>
    <definedName name="Excel_BuiltIn_Print_Area_6" localSheetId="23">#REF!</definedName>
    <definedName name="Excel_BuiltIn_Print_Area_6" localSheetId="22">#REF!</definedName>
    <definedName name="Excel_BuiltIn_Print_Area_6" localSheetId="17">#REF!</definedName>
    <definedName name="Excel_BuiltIn_Print_Area_6" localSheetId="15">#REF!</definedName>
    <definedName name="Excel_BuiltIn_Print_Area_6" localSheetId="26">#REF!</definedName>
    <definedName name="Excel_BuiltIn_Print_Area_6">#REF!</definedName>
    <definedName name="Final" localSheetId="4">#REF!</definedName>
    <definedName name="Final" localSheetId="1">'1-los'!#REF!</definedName>
    <definedName name="Final" localSheetId="30">'3-los'!#REF!</definedName>
    <definedName name="Final" localSheetId="9">#REF!</definedName>
    <definedName name="Final" localSheetId="8">#REF!</definedName>
    <definedName name="Final" localSheetId="7">#REF!</definedName>
    <definedName name="Final" localSheetId="6">#REF!</definedName>
    <definedName name="Final" localSheetId="13">#REF!</definedName>
    <definedName name="Final" localSheetId="12">#REF!</definedName>
    <definedName name="Final" localSheetId="11">#REF!</definedName>
    <definedName name="Final" localSheetId="10">#REF!</definedName>
    <definedName name="Final" localSheetId="21">#REF!</definedName>
    <definedName name="Final" localSheetId="20">#REF!</definedName>
    <definedName name="Final" localSheetId="19">#REF!</definedName>
    <definedName name="Final" localSheetId="18">#REF!</definedName>
    <definedName name="Final" localSheetId="25">#REF!</definedName>
    <definedName name="Final" localSheetId="24">#REF!</definedName>
    <definedName name="Final" localSheetId="23">#REF!</definedName>
    <definedName name="Final" localSheetId="22">#REF!</definedName>
    <definedName name="Final" localSheetId="17">#REF!</definedName>
    <definedName name="Final" localSheetId="16">#REF!</definedName>
    <definedName name="Final" localSheetId="15">#REF!</definedName>
    <definedName name="Final" localSheetId="14">#REF!</definedName>
    <definedName name="Final" localSheetId="26">#REF!</definedName>
    <definedName name="Final">#REF!</definedName>
    <definedName name="FirstRound" localSheetId="4">#REF!</definedName>
    <definedName name="FirstRound" localSheetId="1">'1-los'!#REF!</definedName>
    <definedName name="FirstRound" localSheetId="30">'3-los'!#REF!</definedName>
    <definedName name="FirstRound" localSheetId="9">#REF!</definedName>
    <definedName name="FirstRound" localSheetId="8">#REF!</definedName>
    <definedName name="FirstRound" localSheetId="7">#REF!</definedName>
    <definedName name="FirstRound" localSheetId="6">#REF!</definedName>
    <definedName name="FirstRound" localSheetId="13">#REF!</definedName>
    <definedName name="FirstRound" localSheetId="12">#REF!</definedName>
    <definedName name="FirstRound" localSheetId="11">#REF!</definedName>
    <definedName name="FirstRound" localSheetId="10">#REF!</definedName>
    <definedName name="FirstRound" localSheetId="21">#REF!</definedName>
    <definedName name="FirstRound" localSheetId="20">#REF!</definedName>
    <definedName name="FirstRound" localSheetId="19">#REF!</definedName>
    <definedName name="FirstRound" localSheetId="18">#REF!</definedName>
    <definedName name="FirstRound" localSheetId="25">#REF!</definedName>
    <definedName name="FirstRound" localSheetId="24">#REF!</definedName>
    <definedName name="FirstRound" localSheetId="23">#REF!</definedName>
    <definedName name="FirstRound" localSheetId="22">#REF!</definedName>
    <definedName name="FirstRound" localSheetId="17">#REF!</definedName>
    <definedName name="FirstRound" localSheetId="16">#REF!</definedName>
    <definedName name="FirstRound" localSheetId="15">#REF!</definedName>
    <definedName name="FirstRound" localSheetId="14">#REF!</definedName>
    <definedName name="FirstRound" localSheetId="26">#REF!</definedName>
    <definedName name="FirstRound">#REF!</definedName>
    <definedName name="Groups" localSheetId="4">#REF!</definedName>
    <definedName name="Groups" localSheetId="1">'1-los'!#REF!</definedName>
    <definedName name="Groups" localSheetId="30">'3-los'!$B$18:$B$28</definedName>
    <definedName name="Groups" localSheetId="9">#REF!</definedName>
    <definedName name="Groups" localSheetId="8">#REF!</definedName>
    <definedName name="Groups" localSheetId="7">#REF!</definedName>
    <definedName name="Groups" localSheetId="6">#REF!</definedName>
    <definedName name="Groups" localSheetId="13">#REF!</definedName>
    <definedName name="Groups" localSheetId="12">#REF!</definedName>
    <definedName name="Groups" localSheetId="11">#REF!</definedName>
    <definedName name="Groups" localSheetId="10">#REF!</definedName>
    <definedName name="Groups" localSheetId="21">#REF!</definedName>
    <definedName name="Groups" localSheetId="20">#REF!</definedName>
    <definedName name="Groups" localSheetId="19">#REF!</definedName>
    <definedName name="Groups" localSheetId="18">#REF!</definedName>
    <definedName name="Groups" localSheetId="25">#REF!</definedName>
    <definedName name="Groups" localSheetId="24">#REF!</definedName>
    <definedName name="Groups" localSheetId="23">#REF!</definedName>
    <definedName name="Groups" localSheetId="22">#REF!</definedName>
    <definedName name="Groups" localSheetId="17">#REF!</definedName>
    <definedName name="Groups" localSheetId="16">#REF!</definedName>
    <definedName name="Groups" localSheetId="15">#REF!</definedName>
    <definedName name="Groups" localSheetId="14">#REF!</definedName>
    <definedName name="Groups" localSheetId="26">#REF!</definedName>
    <definedName name="Groups">#REF!</definedName>
    <definedName name="HTML_CodePage" hidden="1">1250</definedName>
    <definedName name="HTML_Control" localSheetId="4" hidden="1">{"'jg1'!$A$2:$K$18"}</definedName>
    <definedName name="HTML_Control" localSheetId="29" hidden="1">{"'jg1'!$A$2:$K$18"}</definedName>
    <definedName name="HTML_Control" localSheetId="27" hidden="1">{"'jg1'!$A$2:$K$18"}</definedName>
    <definedName name="HTML_Control" localSheetId="28" hidden="1">{"'jg1'!$A$2:$K$18"}</definedName>
    <definedName name="HTML_Control" localSheetId="32" hidden="1">{"'jg1'!$A$2:$K$18"}</definedName>
    <definedName name="HTML_Control" localSheetId="35" hidden="1">{"'jg1'!$A$2:$K$18"}</definedName>
    <definedName name="HTML_Control" localSheetId="38" hidden="1">{"'jg1'!$A$2:$K$18"}</definedName>
    <definedName name="HTML_Control" localSheetId="0" hidden="1">{"'ZDKY'!$A$1:$E$33","'ZDCI'!$A$1:$E$129","'ZSZY'!$A$1:$E$32","'ZSZI'!$A$1:$E$142","'ZMZ'!$A$1:$E$151","'Z11'!$A$1:$E$84","'Z10'!$A$1:$E$60"}</definedName>
    <definedName name="HTML_Control" hidden="1">{"'jg1'!$A$2:$K$18"}</definedName>
    <definedName name="HTML_Description" hidden="1">""</definedName>
    <definedName name="HTML_Email" hidden="1">""</definedName>
    <definedName name="HTML_Header" localSheetId="0" hidden="1">"Z10"</definedName>
    <definedName name="HTML_Header" hidden="1">"Junioři 1"</definedName>
    <definedName name="HTML_LastUpdate" localSheetId="0" hidden="1">"4.6.1999"</definedName>
    <definedName name="HTML_LastUpdate" hidden="1">"20.7.1999"</definedName>
    <definedName name="HTML_LineAfter" hidden="1">FALSE</definedName>
    <definedName name="HTML_LineBefore" hidden="1">FALSE</definedName>
    <definedName name="HTML_Name" hidden="1">"Milan Šimáček"</definedName>
    <definedName name="HTML_OBDlg2" hidden="1">TRUE</definedName>
    <definedName name="HTML_OBDlg4" hidden="1">TRUE</definedName>
    <definedName name="HTML_OS" hidden="1">0</definedName>
    <definedName name="HTML_PathFile" localSheetId="0" hidden="1">"D:\3-stolní tenis\HTML.htm"</definedName>
    <definedName name="HTML_PathFile" hidden="1">"D:\3-stolní tenis\Internet\mej99\HTML.htm"</definedName>
    <definedName name="HTML_Title" localSheetId="0" hidden="1">"Zph9899"</definedName>
    <definedName name="HTML_Title" hidden="1">"Družstva"</definedName>
    <definedName name="_xlnm.Print_Area" localSheetId="4">'1-lístky'!$A$1:$J$282</definedName>
    <definedName name="_xlnm.Print_Area" localSheetId="5">'1-lístky-volne'!$A$1:$J$282</definedName>
    <definedName name="_xlnm.Print_Area" localSheetId="1">'1-los'!$C$1:$H$21</definedName>
    <definedName name="_xlnm.Print_Area" localSheetId="3">'1-tabulky'!$A$2:$H$87</definedName>
    <definedName name="_xlnm.Print_Area" localSheetId="2">'1-zapasy'!$A$1:$J$96</definedName>
    <definedName name="_xlnm.Print_Area" localSheetId="27">'2-los'!$C$1:$F$18</definedName>
    <definedName name="_xlnm.Print_Area" localSheetId="28">'2-zapasy'!$A$1:$J$18</definedName>
    <definedName name="_xlnm.Print_Area" localSheetId="30">'3-los'!$A$18:$F$38</definedName>
    <definedName name="_xlnm.Print_Area" localSheetId="31">'3-zapasy'!$A$1:$O$32</definedName>
    <definedName name="_xlnm.Print_Area" localSheetId="34">'4-pavouk'!$A$1:$I$51</definedName>
    <definedName name="_xlnm.Print_Area" localSheetId="33">'4-zapasy'!$A$1:$J$43</definedName>
    <definedName name="_xlnm.Print_Area" localSheetId="9">'A-12D-lístky'!$A$1:$J$45</definedName>
    <definedName name="_xlnm.Print_Area" localSheetId="8">'A-12D-pavouk'!$A$1:$O$28</definedName>
    <definedName name="_xlnm.Print_Area" localSheetId="7">'A-12H-lístky'!$A$1:$J$44</definedName>
    <definedName name="_xlnm.Print_Area" localSheetId="6">'A-12H-pavouk'!$A$1:$O$28</definedName>
    <definedName name="_xlnm.Print_Area" localSheetId="13">'A-16D-lístky'!$A$1:$J$60</definedName>
    <definedName name="_xlnm.Print_Area" localSheetId="12">'A-16D-pavouk'!$A$1:$O$28</definedName>
    <definedName name="_xlnm.Print_Area" localSheetId="11">'A-16H-lístky'!$A$1:$J$60</definedName>
    <definedName name="_xlnm.Print_Area" localSheetId="10">'A-16H-pavouk'!$A$1:$O$28</definedName>
    <definedName name="_xlnm.Print_Area" localSheetId="21">'B-16D-lístky'!$A$1:$J$60</definedName>
    <definedName name="_xlnm.Print_Area" localSheetId="20">'B-16D-pavouk'!$A$1:$O$28</definedName>
    <definedName name="_xlnm.Print_Area" localSheetId="19">'B-16H-lístky'!$A$1:$J$60</definedName>
    <definedName name="_xlnm.Print_Area" localSheetId="18">'B-16H-pavouk'!$A$1:$O$28</definedName>
    <definedName name="_xlnm.Print_Area" localSheetId="25">'B-32D-lístky'!$A$1:$J$123</definedName>
    <definedName name="_xlnm.Print_Area" localSheetId="24">'B-32D-pavouk'!$A$1:$R$52</definedName>
    <definedName name="_xlnm.Print_Area" localSheetId="23">'B-32H-lístky'!$A$1:$J$123</definedName>
    <definedName name="_xlnm.Print_Area" localSheetId="22">'B-32H-pavouk'!$A$1:$R$52</definedName>
    <definedName name="_xlnm.Print_Area" localSheetId="17">'B-8D-lístky'!$A$1:$J$28</definedName>
    <definedName name="_xlnm.Print_Area" localSheetId="16">'B-8D-pavouk'!$A$1:$L$18</definedName>
    <definedName name="_xlnm.Print_Area" localSheetId="15">'B-8H-lístky'!$A$1:$J$29</definedName>
    <definedName name="_xlnm.Print_Area" localSheetId="14">'B-8H-pavouk'!$A$1:$L$17</definedName>
    <definedName name="_xlnm.Print_Area" localSheetId="36">pořadí!$A$1:$C$17</definedName>
    <definedName name="_xlnm.Print_Area" localSheetId="0">prezentace!$A$1:$D$46</definedName>
    <definedName name="_xlnm.Print_Area" localSheetId="26">'Volne-lístky'!$A$1:$J$122</definedName>
    <definedName name="Playoff" localSheetId="4">#REF!</definedName>
    <definedName name="Playoff" localSheetId="1">'1-los'!#REF!</definedName>
    <definedName name="Playoff" localSheetId="30">'3-los'!#REF!</definedName>
    <definedName name="Playoff" localSheetId="9">#REF!</definedName>
    <definedName name="Playoff" localSheetId="7">#REF!</definedName>
    <definedName name="Playoff" localSheetId="13">#REF!</definedName>
    <definedName name="Playoff" localSheetId="11">#REF!</definedName>
    <definedName name="Playoff" localSheetId="21">#REF!</definedName>
    <definedName name="Playoff" localSheetId="19">#REF!</definedName>
    <definedName name="Playoff" localSheetId="25">#REF!</definedName>
    <definedName name="Playoff" localSheetId="24">#REF!</definedName>
    <definedName name="Playoff" localSheetId="23">#REF!</definedName>
    <definedName name="Playoff" localSheetId="22">#REF!</definedName>
    <definedName name="Playoff" localSheetId="17">#REF!</definedName>
    <definedName name="Playoff" localSheetId="15">#REF!</definedName>
    <definedName name="Playoff" localSheetId="26">#REF!</definedName>
    <definedName name="Playoff">#REF!</definedName>
    <definedName name="QuarterFinals" localSheetId="4">#REF!</definedName>
    <definedName name="QuarterFinals" localSheetId="1">'1-los'!#REF!</definedName>
    <definedName name="QuarterFinals" localSheetId="30">'3-los'!#REF!</definedName>
    <definedName name="QuarterFinals" localSheetId="9">#REF!</definedName>
    <definedName name="QuarterFinals" localSheetId="7">#REF!</definedName>
    <definedName name="QuarterFinals" localSheetId="13">#REF!</definedName>
    <definedName name="QuarterFinals" localSheetId="11">#REF!</definedName>
    <definedName name="QuarterFinals" localSheetId="21">#REF!</definedName>
    <definedName name="QuarterFinals" localSheetId="19">#REF!</definedName>
    <definedName name="QuarterFinals" localSheetId="25">#REF!</definedName>
    <definedName name="QuarterFinals" localSheetId="24">#REF!</definedName>
    <definedName name="QuarterFinals" localSheetId="23">#REF!</definedName>
    <definedName name="QuarterFinals" localSheetId="22">#REF!</definedName>
    <definedName name="QuarterFinals" localSheetId="17">#REF!</definedName>
    <definedName name="QuarterFinals" localSheetId="15">#REF!</definedName>
    <definedName name="QuarterFinals" localSheetId="26">#REF!</definedName>
    <definedName name="QuarterFinals">#REF!</definedName>
    <definedName name="SecondRound" localSheetId="4">#REF!</definedName>
    <definedName name="SecondRound" localSheetId="1">'1-los'!#REF!</definedName>
    <definedName name="SecondRound" localSheetId="30">'3-los'!#REF!</definedName>
    <definedName name="SecondRound" localSheetId="9">#REF!</definedName>
    <definedName name="SecondRound" localSheetId="7">#REF!</definedName>
    <definedName name="SecondRound" localSheetId="13">#REF!</definedName>
    <definedName name="SecondRound" localSheetId="11">#REF!</definedName>
    <definedName name="SecondRound" localSheetId="21">#REF!</definedName>
    <definedName name="SecondRound" localSheetId="19">#REF!</definedName>
    <definedName name="SecondRound" localSheetId="25">#REF!</definedName>
    <definedName name="SecondRound" localSheetId="24">#REF!</definedName>
    <definedName name="SecondRound" localSheetId="23">#REF!</definedName>
    <definedName name="SecondRound" localSheetId="22">#REF!</definedName>
    <definedName name="SecondRound" localSheetId="17">#REF!</definedName>
    <definedName name="SecondRound" localSheetId="15">#REF!</definedName>
    <definedName name="SecondRound" localSheetId="26">#REF!</definedName>
    <definedName name="SecondRound">#REF!</definedName>
    <definedName name="SemiFinals" localSheetId="4">#REF!</definedName>
    <definedName name="SemiFinals" localSheetId="1">'1-los'!#REF!</definedName>
    <definedName name="SemiFinals" localSheetId="30">'3-los'!#REF!</definedName>
    <definedName name="SemiFinals" localSheetId="9">#REF!</definedName>
    <definedName name="SemiFinals" localSheetId="7">#REF!</definedName>
    <definedName name="SemiFinals" localSheetId="13">#REF!</definedName>
    <definedName name="SemiFinals" localSheetId="11">#REF!</definedName>
    <definedName name="SemiFinals" localSheetId="21">#REF!</definedName>
    <definedName name="SemiFinals" localSheetId="19">#REF!</definedName>
    <definedName name="SemiFinals" localSheetId="25">#REF!</definedName>
    <definedName name="SemiFinals" localSheetId="24">#REF!</definedName>
    <definedName name="SemiFinals" localSheetId="23">#REF!</definedName>
    <definedName name="SemiFinals" localSheetId="22">#REF!</definedName>
    <definedName name="SemiFinals" localSheetId="17">#REF!</definedName>
    <definedName name="SemiFinals" localSheetId="15">#REF!</definedName>
    <definedName name="SemiFinals" localSheetId="26">#REF!</definedName>
    <definedName name="SemiFinals">#REF!</definedName>
    <definedName name="TABLE" localSheetId="1">'1-los'!#REF!</definedName>
    <definedName name="TABLE" localSheetId="2">'1-zapasy'!#REF!</definedName>
    <definedName name="TABLE" localSheetId="30">'3-los'!#REF!</definedName>
    <definedName name="TABLE" localSheetId="31">'3-zapasy'!$A$2:$M$16</definedName>
    <definedName name="TABLE_10" localSheetId="2">'1-zapasy'!#REF!</definedName>
    <definedName name="TABLE_10" localSheetId="31">'3-zapasy'!#REF!</definedName>
    <definedName name="TABLE_11" localSheetId="2">'1-zapasy'!#REF!</definedName>
    <definedName name="TABLE_11" localSheetId="31">'3-zapasy'!#REF!</definedName>
    <definedName name="TABLE_12" localSheetId="2">'1-zapasy'!#REF!</definedName>
    <definedName name="TABLE_12" localSheetId="31">'3-zapasy'!$A$33:$D$33</definedName>
    <definedName name="TABLE_13" localSheetId="2">'1-zapasy'!#REF!</definedName>
    <definedName name="TABLE_13" localSheetId="31">'3-zapasy'!$N$33:$O$35</definedName>
    <definedName name="TABLE_14" localSheetId="2">'1-zapasy'!#REF!</definedName>
    <definedName name="TABLE_14" localSheetId="31">'3-zapasy'!$A$1:$O$35</definedName>
    <definedName name="TABLE_15" localSheetId="2">'1-zapasy'!#REF!</definedName>
    <definedName name="TABLE_15" localSheetId="31">'3-zapasy'!$A$36:$M$36</definedName>
    <definedName name="TABLE_16" localSheetId="2">'1-zapasy'!#REF!</definedName>
    <definedName name="TABLE_16" localSheetId="31">'3-zapasy'!$A$3:$D$16</definedName>
    <definedName name="TABLE_17" localSheetId="2">'1-zapasy'!#REF!</definedName>
    <definedName name="TABLE_17" localSheetId="31">'3-zapasy'!$K$6:$O$6</definedName>
    <definedName name="TABLE_18" localSheetId="2">'1-zapasy'!#REF!</definedName>
    <definedName name="TABLE_18" localSheetId="31">'3-zapasy'!$K$6:$O$6</definedName>
    <definedName name="TABLE_2" localSheetId="1">'1-los'!#REF!</definedName>
    <definedName name="TABLE_2" localSheetId="2">'1-zapasy'!#REF!</definedName>
    <definedName name="TABLE_2" localSheetId="30">'3-los'!#REF!</definedName>
    <definedName name="TABLE_2" localSheetId="31">'3-zapasy'!#REF!</definedName>
    <definedName name="TABLE_3" localSheetId="2">'1-zapasy'!#REF!</definedName>
    <definedName name="TABLE_3" localSheetId="31">'3-zapasy'!#REF!</definedName>
    <definedName name="TABLE_4" localSheetId="2">'1-zapasy'!#REF!</definedName>
    <definedName name="TABLE_4" localSheetId="31">'3-zapasy'!#REF!</definedName>
    <definedName name="TABLE_5" localSheetId="2">'1-zapasy'!#REF!</definedName>
    <definedName name="TABLE_5" localSheetId="31">'3-zapasy'!#REF!</definedName>
    <definedName name="TABLE_6" localSheetId="2">'1-zapasy'!#REF!</definedName>
    <definedName name="TABLE_6" localSheetId="31">'3-zapasy'!$A$18:$D$24</definedName>
    <definedName name="TABLE_7" localSheetId="2">'1-zapasy'!#REF!</definedName>
    <definedName name="TABLE_7" localSheetId="31">'3-zapasy'!$K$18:$O$24</definedName>
    <definedName name="TABLE_8" localSheetId="2">'1-zapasy'!#REF!</definedName>
    <definedName name="TABLE_8" localSheetId="31">'3-zapasy'!$A$26:$D$32</definedName>
    <definedName name="TABLE_9" localSheetId="2">'1-zapasy'!#REF!</definedName>
    <definedName name="TABLE_9" localSheetId="31">'3-zapasy'!$K$26:$O$32</definedName>
    <definedName name="test" localSheetId="9">#REF!</definedName>
    <definedName name="test" localSheetId="7">#REF!</definedName>
    <definedName name="test" localSheetId="13">#REF!</definedName>
    <definedName name="test" localSheetId="11">#REF!</definedName>
    <definedName name="test" localSheetId="21">#REF!</definedName>
    <definedName name="test" localSheetId="19">#REF!</definedName>
    <definedName name="test" localSheetId="25">#REF!</definedName>
    <definedName name="test" localSheetId="24">#REF!</definedName>
    <definedName name="test" localSheetId="23">#REF!</definedName>
    <definedName name="test" localSheetId="22">#REF!</definedName>
    <definedName name="test" localSheetId="17">#REF!</definedName>
    <definedName name="test" localSheetId="15">#REF!</definedName>
    <definedName name="test" localSheetId="26">#REF!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9" l="1"/>
  <c r="C87" i="32"/>
  <c r="E85" i="32"/>
  <c r="E81" i="32"/>
  <c r="E24" i="32"/>
  <c r="A32" i="32"/>
  <c r="E78" i="32"/>
  <c r="E11" i="22" l="1"/>
  <c r="C51" i="61" l="1"/>
  <c r="C50" i="61"/>
  <c r="C48" i="61"/>
  <c r="C47" i="61"/>
  <c r="C45" i="61"/>
  <c r="C44" i="61"/>
  <c r="C42" i="61"/>
  <c r="C41" i="61"/>
  <c r="C39" i="61"/>
  <c r="C38" i="61"/>
  <c r="C36" i="61"/>
  <c r="C35" i="61"/>
  <c r="C33" i="61"/>
  <c r="C32" i="61"/>
  <c r="C30" i="61"/>
  <c r="C29" i="61"/>
  <c r="C27" i="61"/>
  <c r="C26" i="61"/>
  <c r="C24" i="61"/>
  <c r="C23" i="61"/>
  <c r="C21" i="61"/>
  <c r="C20" i="61"/>
  <c r="C18" i="61"/>
  <c r="C17" i="61"/>
  <c r="C15" i="61"/>
  <c r="C14" i="61"/>
  <c r="C12" i="61"/>
  <c r="C11" i="61"/>
  <c r="C9" i="61"/>
  <c r="C8" i="61"/>
  <c r="C6" i="61"/>
  <c r="C5" i="61"/>
  <c r="C51" i="57"/>
  <c r="C50" i="57"/>
  <c r="C48" i="57"/>
  <c r="C47" i="57"/>
  <c r="C45" i="57"/>
  <c r="C44" i="57"/>
  <c r="C42" i="57"/>
  <c r="C41" i="57"/>
  <c r="C39" i="57"/>
  <c r="C38" i="57"/>
  <c r="C36" i="57"/>
  <c r="C35" i="57"/>
  <c r="C33" i="57"/>
  <c r="C32" i="57"/>
  <c r="C30" i="57"/>
  <c r="C29" i="57"/>
  <c r="C27" i="57"/>
  <c r="C26" i="57"/>
  <c r="C24" i="57"/>
  <c r="C23" i="57"/>
  <c r="C21" i="57"/>
  <c r="C20" i="57"/>
  <c r="C18" i="57"/>
  <c r="C17" i="57"/>
  <c r="C15" i="57"/>
  <c r="C14" i="57"/>
  <c r="C12" i="57"/>
  <c r="C11" i="57"/>
  <c r="C9" i="57"/>
  <c r="C8" i="57"/>
  <c r="C6" i="57"/>
  <c r="C5" i="57"/>
  <c r="C16" i="65"/>
  <c r="C15" i="65"/>
  <c r="C13" i="65"/>
  <c r="C12" i="65"/>
  <c r="C10" i="65"/>
  <c r="C9" i="65"/>
  <c r="C7" i="65"/>
  <c r="C6" i="65"/>
  <c r="C16" i="63"/>
  <c r="C15" i="63"/>
  <c r="C13" i="63"/>
  <c r="C12" i="63"/>
  <c r="C10" i="63"/>
  <c r="C9" i="63"/>
  <c r="C7" i="63"/>
  <c r="C6" i="63"/>
  <c r="T19" i="23"/>
  <c r="S19" i="23"/>
  <c r="E63" i="32"/>
  <c r="C65" i="32"/>
  <c r="E59" i="32"/>
  <c r="E70" i="32"/>
  <c r="E74" i="32"/>
  <c r="C76" i="32"/>
  <c r="C130" i="32"/>
  <c r="E128" i="32"/>
  <c r="B128" i="32"/>
  <c r="C127" i="32"/>
  <c r="B127" i="32"/>
  <c r="D126" i="32"/>
  <c r="D125" i="32"/>
  <c r="B125" i="32"/>
  <c r="E124" i="32"/>
  <c r="C124" i="32"/>
  <c r="D123" i="32"/>
  <c r="C123" i="32"/>
  <c r="A121" i="32"/>
  <c r="A132" i="32"/>
  <c r="C134" i="32"/>
  <c r="D134" i="32"/>
  <c r="C135" i="32"/>
  <c r="E135" i="32"/>
  <c r="B136" i="32"/>
  <c r="D136" i="32"/>
  <c r="D137" i="32"/>
  <c r="B138" i="32"/>
  <c r="C138" i="32"/>
  <c r="B139" i="32"/>
  <c r="E139" i="32"/>
  <c r="C141" i="32"/>
  <c r="A143" i="32"/>
  <c r="C145" i="32"/>
  <c r="D145" i="32"/>
  <c r="C146" i="32"/>
  <c r="E146" i="32"/>
  <c r="B147" i="32"/>
  <c r="D147" i="32"/>
  <c r="D148" i="32"/>
  <c r="B149" i="32"/>
  <c r="C149" i="32"/>
  <c r="B150" i="32"/>
  <c r="E150" i="32"/>
  <c r="C152" i="32"/>
  <c r="C119" i="32"/>
  <c r="E117" i="32"/>
  <c r="B117" i="32"/>
  <c r="C116" i="32"/>
  <c r="B116" i="32"/>
  <c r="D115" i="32"/>
  <c r="D114" i="32"/>
  <c r="B114" i="32"/>
  <c r="E113" i="32"/>
  <c r="C113" i="32"/>
  <c r="D112" i="32"/>
  <c r="C112" i="32"/>
  <c r="A110" i="32"/>
  <c r="C108" i="32"/>
  <c r="E106" i="32"/>
  <c r="B106" i="32"/>
  <c r="C105" i="32"/>
  <c r="B105" i="32"/>
  <c r="D104" i="32"/>
  <c r="D103" i="32"/>
  <c r="B103" i="32"/>
  <c r="E102" i="32"/>
  <c r="C102" i="32"/>
  <c r="D101" i="32"/>
  <c r="C101" i="32"/>
  <c r="A99" i="32"/>
  <c r="C97" i="32"/>
  <c r="E95" i="32"/>
  <c r="B95" i="32"/>
  <c r="C94" i="32"/>
  <c r="B94" i="32"/>
  <c r="D93" i="32"/>
  <c r="D92" i="32"/>
  <c r="B92" i="32"/>
  <c r="E91" i="32"/>
  <c r="C91" i="32"/>
  <c r="D90" i="32"/>
  <c r="C90" i="32"/>
  <c r="A88" i="32"/>
  <c r="B85" i="32"/>
  <c r="D83" i="32"/>
  <c r="C81" i="32"/>
  <c r="B74" i="32"/>
  <c r="D72" i="32"/>
  <c r="C70" i="32"/>
  <c r="B63" i="32"/>
  <c r="D61" i="32"/>
  <c r="C59" i="32"/>
  <c r="C54" i="32"/>
  <c r="E52" i="32"/>
  <c r="B52" i="32"/>
  <c r="D50" i="32"/>
  <c r="E48" i="32"/>
  <c r="C48" i="32"/>
  <c r="C44" i="32"/>
  <c r="E42" i="32"/>
  <c r="B42" i="32"/>
  <c r="D40" i="32"/>
  <c r="E38" i="32"/>
  <c r="C38" i="32"/>
  <c r="A469" i="67"/>
  <c r="A465" i="67"/>
  <c r="A461" i="67"/>
  <c r="A457" i="67"/>
  <c r="A453" i="67"/>
  <c r="A449" i="67"/>
  <c r="A445" i="67"/>
  <c r="A441" i="67"/>
  <c r="A437" i="67"/>
  <c r="A433" i="67"/>
  <c r="A429" i="67"/>
  <c r="A425" i="67"/>
  <c r="A422" i="67"/>
  <c r="A418" i="67"/>
  <c r="A414" i="67"/>
  <c r="A410" i="67"/>
  <c r="A406" i="67"/>
  <c r="A402" i="67"/>
  <c r="A398" i="67"/>
  <c r="A394" i="67"/>
  <c r="A390" i="67"/>
  <c r="A386" i="67"/>
  <c r="A382" i="67"/>
  <c r="A378" i="67"/>
  <c r="A375" i="67"/>
  <c r="A371" i="67"/>
  <c r="A367" i="67"/>
  <c r="A363" i="67"/>
  <c r="A359" i="67"/>
  <c r="A355" i="67"/>
  <c r="A351" i="67"/>
  <c r="A347" i="67"/>
  <c r="A343" i="67"/>
  <c r="A339" i="67"/>
  <c r="A335" i="67"/>
  <c r="A331" i="67"/>
  <c r="A328" i="67"/>
  <c r="A324" i="67"/>
  <c r="A320" i="67"/>
  <c r="A316" i="67"/>
  <c r="A312" i="67"/>
  <c r="A308" i="67"/>
  <c r="A304" i="67"/>
  <c r="A300" i="67"/>
  <c r="A296" i="67"/>
  <c r="A292" i="67"/>
  <c r="A288" i="67"/>
  <c r="A284" i="67"/>
  <c r="A281" i="67"/>
  <c r="A277" i="67"/>
  <c r="A273" i="67"/>
  <c r="A269" i="67"/>
  <c r="A265" i="67"/>
  <c r="A261" i="67"/>
  <c r="A257" i="67"/>
  <c r="A253" i="67"/>
  <c r="A249" i="67"/>
  <c r="A245" i="67"/>
  <c r="A241" i="67"/>
  <c r="A237" i="67"/>
  <c r="A234" i="67"/>
  <c r="A230" i="67"/>
  <c r="A226" i="67"/>
  <c r="A222" i="67"/>
  <c r="A218" i="67"/>
  <c r="A214" i="67"/>
  <c r="A210" i="67"/>
  <c r="A206" i="67"/>
  <c r="A202" i="67"/>
  <c r="A198" i="67"/>
  <c r="A194" i="67"/>
  <c r="A190" i="67"/>
  <c r="A187" i="67"/>
  <c r="A183" i="67"/>
  <c r="A179" i="67"/>
  <c r="A175" i="67"/>
  <c r="A171" i="67"/>
  <c r="A167" i="67"/>
  <c r="A163" i="67"/>
  <c r="A159" i="67"/>
  <c r="A155" i="67"/>
  <c r="A151" i="67"/>
  <c r="A147" i="67"/>
  <c r="A143" i="67"/>
  <c r="A140" i="67"/>
  <c r="A136" i="67"/>
  <c r="A132" i="67"/>
  <c r="A128" i="67"/>
  <c r="A124" i="67"/>
  <c r="A120" i="67"/>
  <c r="A116" i="67"/>
  <c r="A112" i="67"/>
  <c r="A108" i="67"/>
  <c r="A104" i="67"/>
  <c r="A100" i="67"/>
  <c r="A96" i="67"/>
  <c r="A93" i="67"/>
  <c r="A89" i="67"/>
  <c r="A85" i="67"/>
  <c r="A81" i="67"/>
  <c r="A77" i="67"/>
  <c r="A73" i="67"/>
  <c r="A69" i="67"/>
  <c r="A65" i="67"/>
  <c r="A61" i="67"/>
  <c r="A57" i="67"/>
  <c r="A53" i="67"/>
  <c r="A49" i="67"/>
  <c r="A46" i="67"/>
  <c r="A42" i="67"/>
  <c r="A38" i="67"/>
  <c r="A34" i="67"/>
  <c r="A30" i="67"/>
  <c r="A26" i="67"/>
  <c r="A22" i="67"/>
  <c r="A18" i="67"/>
  <c r="A14" i="67"/>
  <c r="A10" i="67"/>
  <c r="A6" i="67"/>
  <c r="A2" i="67"/>
  <c r="C33" i="32"/>
  <c r="E31" i="32"/>
  <c r="B31" i="32"/>
  <c r="D29" i="32"/>
  <c r="E27" i="32"/>
  <c r="C27" i="32"/>
  <c r="C22" i="32"/>
  <c r="B20" i="32"/>
  <c r="E20" i="32"/>
  <c r="D18" i="32"/>
  <c r="E16" i="32"/>
  <c r="C16" i="32"/>
  <c r="A78" i="32"/>
  <c r="A67" i="32"/>
  <c r="A56" i="32"/>
  <c r="A45" i="32"/>
  <c r="A35" i="32"/>
  <c r="A24" i="32"/>
  <c r="A13" i="32"/>
  <c r="A2" i="32"/>
  <c r="E9" i="32"/>
  <c r="E5" i="32"/>
  <c r="D7" i="32"/>
  <c r="C11" i="32"/>
  <c r="C5" i="32"/>
  <c r="B9" i="32"/>
  <c r="F15" i="65" l="1"/>
  <c r="I14" i="65"/>
  <c r="F13" i="65"/>
  <c r="L11" i="65"/>
  <c r="F9" i="65"/>
  <c r="I8" i="65"/>
  <c r="F7" i="65"/>
  <c r="A27" i="64"/>
  <c r="A22" i="64"/>
  <c r="A18" i="64"/>
  <c r="F15" i="63"/>
  <c r="I14" i="63"/>
  <c r="F13" i="63"/>
  <c r="L11" i="63"/>
  <c r="F9" i="63"/>
  <c r="I8" i="63"/>
  <c r="F7" i="63"/>
  <c r="A121" i="62" l="1"/>
  <c r="A117" i="62"/>
  <c r="A113" i="62"/>
  <c r="A109" i="62"/>
  <c r="A105" i="62"/>
  <c r="A101" i="62"/>
  <c r="A97" i="62"/>
  <c r="A93" i="62"/>
  <c r="A89" i="62"/>
  <c r="A85" i="62"/>
  <c r="A81" i="62"/>
  <c r="A77" i="62"/>
  <c r="A73" i="62"/>
  <c r="A69" i="62"/>
  <c r="A65" i="62"/>
  <c r="F50" i="61"/>
  <c r="I49" i="61"/>
  <c r="F48" i="61"/>
  <c r="L46" i="61"/>
  <c r="F44" i="61"/>
  <c r="I43" i="61"/>
  <c r="F42" i="61"/>
  <c r="O40" i="61"/>
  <c r="F38" i="61"/>
  <c r="I37" i="61"/>
  <c r="F36" i="61"/>
  <c r="L34" i="61"/>
  <c r="F32" i="61"/>
  <c r="I31" i="61"/>
  <c r="F30" i="61"/>
  <c r="R28" i="61"/>
  <c r="F26" i="61"/>
  <c r="I25" i="61"/>
  <c r="F24" i="61"/>
  <c r="L22" i="61"/>
  <c r="F20" i="61"/>
  <c r="I19" i="61"/>
  <c r="F18" i="61"/>
  <c r="O16" i="61"/>
  <c r="F14" i="61"/>
  <c r="I13" i="61"/>
  <c r="F12" i="61"/>
  <c r="L10" i="61"/>
  <c r="F8" i="61"/>
  <c r="I7" i="61"/>
  <c r="F6" i="61"/>
  <c r="A6" i="61"/>
  <c r="A8" i="61" s="1"/>
  <c r="A9" i="61" s="1"/>
  <c r="A11" i="61" s="1"/>
  <c r="A12" i="61" s="1"/>
  <c r="A14" i="61" s="1"/>
  <c r="A15" i="61" s="1"/>
  <c r="A17" i="61" s="1"/>
  <c r="A18" i="61" s="1"/>
  <c r="A20" i="61" s="1"/>
  <c r="A21" i="61" s="1"/>
  <c r="A23" i="61" s="1"/>
  <c r="A24" i="61" s="1"/>
  <c r="A26" i="61" s="1"/>
  <c r="A27" i="61" s="1"/>
  <c r="A29" i="61" s="1"/>
  <c r="A30" i="61" s="1"/>
  <c r="A32" i="61" s="1"/>
  <c r="A33" i="61" s="1"/>
  <c r="A35" i="61" s="1"/>
  <c r="A36" i="61" s="1"/>
  <c r="A38" i="61" s="1"/>
  <c r="A39" i="61" s="1"/>
  <c r="A41" i="61" s="1"/>
  <c r="A42" i="61" s="1"/>
  <c r="A44" i="61" s="1"/>
  <c r="A45" i="61" s="1"/>
  <c r="A47" i="61" s="1"/>
  <c r="A48" i="61" s="1"/>
  <c r="A50" i="61" s="1"/>
  <c r="A51" i="61" s="1"/>
  <c r="A121" i="58"/>
  <c r="A117" i="58"/>
  <c r="A113" i="58"/>
  <c r="A109" i="58"/>
  <c r="A105" i="58"/>
  <c r="A101" i="58"/>
  <c r="A97" i="58"/>
  <c r="A93" i="58"/>
  <c r="A89" i="58"/>
  <c r="A85" i="58"/>
  <c r="A81" i="58"/>
  <c r="A77" i="58"/>
  <c r="A73" i="58"/>
  <c r="A69" i="58"/>
  <c r="A65" i="58"/>
  <c r="F50" i="57"/>
  <c r="I49" i="57"/>
  <c r="F48" i="57"/>
  <c r="L46" i="57"/>
  <c r="F44" i="57"/>
  <c r="I43" i="57"/>
  <c r="F42" i="57"/>
  <c r="O40" i="57"/>
  <c r="F38" i="57"/>
  <c r="I37" i="57"/>
  <c r="F36" i="57"/>
  <c r="L34" i="57"/>
  <c r="F32" i="57"/>
  <c r="I31" i="57"/>
  <c r="F30" i="57"/>
  <c r="R28" i="57"/>
  <c r="F26" i="57"/>
  <c r="I25" i="57"/>
  <c r="F24" i="57"/>
  <c r="L22" i="57"/>
  <c r="F20" i="57"/>
  <c r="I19" i="57"/>
  <c r="F18" i="57"/>
  <c r="O16" i="57"/>
  <c r="F14" i="57"/>
  <c r="I13" i="57"/>
  <c r="F12" i="57"/>
  <c r="L10" i="57"/>
  <c r="F8" i="57"/>
  <c r="I7" i="57"/>
  <c r="F6" i="57"/>
  <c r="A6" i="57"/>
  <c r="A8" i="57" s="1"/>
  <c r="A9" i="57" s="1"/>
  <c r="A11" i="57" s="1"/>
  <c r="A12" i="57" s="1"/>
  <c r="A14" i="57" s="1"/>
  <c r="A15" i="57" s="1"/>
  <c r="A17" i="57" s="1"/>
  <c r="A18" i="57" s="1"/>
  <c r="A20" i="57" s="1"/>
  <c r="A21" i="57" s="1"/>
  <c r="A23" i="57" s="1"/>
  <c r="A24" i="57" s="1"/>
  <c r="A26" i="57" s="1"/>
  <c r="A27" i="57" s="1"/>
  <c r="A29" i="57" s="1"/>
  <c r="A30" i="57" s="1"/>
  <c r="A32" i="57" s="1"/>
  <c r="A33" i="57" s="1"/>
  <c r="A35" i="57" s="1"/>
  <c r="A36" i="57" s="1"/>
  <c r="A38" i="57" s="1"/>
  <c r="A39" i="57" s="1"/>
  <c r="A41" i="57" s="1"/>
  <c r="A42" i="57" s="1"/>
  <c r="A44" i="57" s="1"/>
  <c r="A45" i="57" s="1"/>
  <c r="A47" i="57" s="1"/>
  <c r="A48" i="57" s="1"/>
  <c r="A50" i="57" s="1"/>
  <c r="A51" i="57" s="1"/>
  <c r="A43" i="56" l="1"/>
  <c r="A39" i="56"/>
  <c r="A35" i="56"/>
  <c r="A31" i="56"/>
  <c r="A27" i="56"/>
  <c r="A23" i="56"/>
  <c r="A19" i="56"/>
  <c r="C27" i="55"/>
  <c r="F26" i="55"/>
  <c r="C26" i="55"/>
  <c r="I25" i="55"/>
  <c r="F24" i="55"/>
  <c r="C24" i="55"/>
  <c r="C23" i="55"/>
  <c r="L22" i="55"/>
  <c r="C21" i="55"/>
  <c r="F20" i="55"/>
  <c r="C20" i="55"/>
  <c r="I19" i="55"/>
  <c r="F18" i="55"/>
  <c r="C18" i="55"/>
  <c r="C17" i="55"/>
  <c r="O16" i="55"/>
  <c r="C15" i="55"/>
  <c r="F14" i="55"/>
  <c r="C14" i="55"/>
  <c r="I13" i="55"/>
  <c r="F12" i="55"/>
  <c r="C12" i="55"/>
  <c r="C11" i="55"/>
  <c r="L10" i="55"/>
  <c r="C9" i="55"/>
  <c r="F8" i="55"/>
  <c r="C8" i="55"/>
  <c r="I7" i="55"/>
  <c r="F6" i="55"/>
  <c r="C6" i="55"/>
  <c r="C5" i="55"/>
  <c r="A42" i="54"/>
  <c r="A38" i="54"/>
  <c r="A34" i="54"/>
  <c r="A30" i="54"/>
  <c r="A26" i="54"/>
  <c r="A22" i="54"/>
  <c r="A18" i="54"/>
  <c r="C27" i="53"/>
  <c r="F26" i="53"/>
  <c r="C26" i="53"/>
  <c r="I25" i="53"/>
  <c r="F24" i="53"/>
  <c r="C24" i="53"/>
  <c r="C23" i="53"/>
  <c r="L22" i="53"/>
  <c r="C21" i="53"/>
  <c r="F20" i="53"/>
  <c r="C20" i="53"/>
  <c r="I19" i="53"/>
  <c r="F18" i="53"/>
  <c r="C18" i="53"/>
  <c r="C17" i="53"/>
  <c r="O16" i="53"/>
  <c r="C15" i="53"/>
  <c r="F14" i="53"/>
  <c r="C14" i="53"/>
  <c r="I13" i="53"/>
  <c r="F12" i="53"/>
  <c r="C12" i="53"/>
  <c r="C11" i="53"/>
  <c r="L10" i="53"/>
  <c r="C9" i="53"/>
  <c r="F8" i="53"/>
  <c r="C8" i="53"/>
  <c r="I7" i="53"/>
  <c r="F6" i="53"/>
  <c r="C6" i="53"/>
  <c r="C5" i="53"/>
  <c r="A54" i="50"/>
  <c r="A34" i="50"/>
  <c r="A58" i="52"/>
  <c r="A54" i="52"/>
  <c r="A50" i="52"/>
  <c r="A46" i="52"/>
  <c r="A42" i="52"/>
  <c r="A38" i="52"/>
  <c r="A34" i="52"/>
  <c r="C26" i="51"/>
  <c r="C24" i="51"/>
  <c r="C6" i="51"/>
  <c r="A58" i="50"/>
  <c r="A50" i="50"/>
  <c r="A46" i="50"/>
  <c r="A42" i="50"/>
  <c r="A38" i="50"/>
  <c r="C26" i="49"/>
  <c r="A58" i="47"/>
  <c r="A54" i="47"/>
  <c r="A50" i="47"/>
  <c r="A46" i="47"/>
  <c r="A42" i="47"/>
  <c r="A38" i="47"/>
  <c r="A34" i="47"/>
  <c r="C27" i="46"/>
  <c r="F26" i="46"/>
  <c r="C26" i="46"/>
  <c r="I25" i="46"/>
  <c r="F24" i="46"/>
  <c r="C24" i="46"/>
  <c r="C23" i="46"/>
  <c r="L22" i="46"/>
  <c r="C21" i="46"/>
  <c r="F20" i="46"/>
  <c r="C20" i="46"/>
  <c r="I19" i="46"/>
  <c r="F18" i="46"/>
  <c r="C18" i="46"/>
  <c r="C17" i="46"/>
  <c r="O16" i="46"/>
  <c r="C15" i="46"/>
  <c r="F14" i="46"/>
  <c r="C14" i="46"/>
  <c r="I13" i="46"/>
  <c r="F12" i="46"/>
  <c r="C12" i="46"/>
  <c r="C11" i="46"/>
  <c r="L10" i="46"/>
  <c r="C9" i="46"/>
  <c r="F8" i="46"/>
  <c r="C8" i="46"/>
  <c r="I7" i="46"/>
  <c r="F6" i="46"/>
  <c r="C6" i="46"/>
  <c r="C5" i="46"/>
  <c r="A58" i="37" l="1"/>
  <c r="A54" i="37"/>
  <c r="A50" i="37"/>
  <c r="A46" i="37"/>
  <c r="A42" i="37"/>
  <c r="A38" i="37"/>
  <c r="A34" i="37"/>
  <c r="A208" i="32" l="1"/>
  <c r="A197" i="32"/>
  <c r="A186" i="32"/>
  <c r="A175" i="32"/>
  <c r="A165" i="32"/>
  <c r="A154" i="32"/>
  <c r="C27" i="34"/>
  <c r="F26" i="34" s="1"/>
  <c r="C26" i="34"/>
  <c r="C24" i="34"/>
  <c r="C23" i="34"/>
  <c r="C21" i="34"/>
  <c r="C20" i="34"/>
  <c r="C18" i="34"/>
  <c r="C17" i="34"/>
  <c r="C15" i="34"/>
  <c r="C14" i="34"/>
  <c r="C12" i="34"/>
  <c r="C11" i="34"/>
  <c r="C9" i="34"/>
  <c r="C8" i="34"/>
  <c r="C6" i="34"/>
  <c r="C5" i="34"/>
  <c r="J9" i="22"/>
  <c r="E2" i="16"/>
  <c r="E25" i="16"/>
  <c r="E11" i="16"/>
  <c r="E12" i="16"/>
  <c r="E23" i="16"/>
  <c r="E15" i="16"/>
  <c r="E3" i="16"/>
  <c r="E7" i="16"/>
  <c r="E17" i="16"/>
  <c r="E8" i="16"/>
  <c r="E30" i="16"/>
  <c r="E22" i="16"/>
  <c r="E10" i="16"/>
  <c r="E9" i="16"/>
  <c r="E4" i="16"/>
  <c r="E20" i="16"/>
  <c r="E29" i="16"/>
  <c r="E16" i="16"/>
  <c r="E26" i="16"/>
  <c r="E18" i="16"/>
  <c r="E31" i="16"/>
  <c r="E28" i="16"/>
  <c r="E21" i="16"/>
  <c r="E6" i="16"/>
  <c r="E24" i="16"/>
  <c r="E19" i="16"/>
  <c r="E14" i="16"/>
  <c r="E5" i="16"/>
  <c r="E13" i="16"/>
  <c r="E32" i="16"/>
  <c r="G20" i="22" s="1"/>
  <c r="E33" i="16"/>
  <c r="G21" i="22" s="1"/>
  <c r="E34" i="16"/>
  <c r="E23" i="22" s="1"/>
  <c r="E35" i="16"/>
  <c r="E24" i="22" s="1"/>
  <c r="E36" i="16"/>
  <c r="E37" i="16"/>
  <c r="E26" i="22" s="1"/>
  <c r="A96" i="32" s="1"/>
  <c r="E88" i="32" s="1"/>
  <c r="E38" i="16"/>
  <c r="G23" i="22" s="1"/>
  <c r="E39" i="16"/>
  <c r="G24" i="22" s="1"/>
  <c r="E40" i="16"/>
  <c r="G25" i="22" s="1"/>
  <c r="E41" i="16"/>
  <c r="G26" i="22" s="1"/>
  <c r="E42" i="16"/>
  <c r="E28" i="22" s="1"/>
  <c r="E43" i="16"/>
  <c r="E29" i="22" s="1"/>
  <c r="E44" i="16"/>
  <c r="E45" i="16"/>
  <c r="E46" i="16"/>
  <c r="E47" i="16"/>
  <c r="G29" i="22" s="1"/>
  <c r="E48" i="16"/>
  <c r="G30" i="22" s="1"/>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27" i="16"/>
  <c r="C217" i="32"/>
  <c r="E215" i="32"/>
  <c r="B215" i="32"/>
  <c r="D213" i="32"/>
  <c r="E211" i="32"/>
  <c r="C211" i="32"/>
  <c r="C200" i="32"/>
  <c r="E200" i="32"/>
  <c r="D202" i="32"/>
  <c r="B204" i="32"/>
  <c r="E204" i="32"/>
  <c r="C206" i="32"/>
  <c r="C189" i="32"/>
  <c r="E189" i="32"/>
  <c r="D191" i="32"/>
  <c r="B193" i="32"/>
  <c r="E193" i="32"/>
  <c r="C195" i="32"/>
  <c r="C168" i="32"/>
  <c r="E168" i="32"/>
  <c r="D170" i="32"/>
  <c r="B172" i="32"/>
  <c r="E172" i="32"/>
  <c r="C174" i="32"/>
  <c r="C184" i="32"/>
  <c r="E182" i="32"/>
  <c r="B182" i="32"/>
  <c r="D180" i="32"/>
  <c r="E178" i="32"/>
  <c r="C178" i="32"/>
  <c r="C163" i="32"/>
  <c r="E161" i="32"/>
  <c r="B161" i="32"/>
  <c r="D159" i="32"/>
  <c r="E157" i="32"/>
  <c r="C157" i="32"/>
  <c r="T3" i="23"/>
  <c r="S3" i="23"/>
  <c r="S5" i="23"/>
  <c r="T5" i="23"/>
  <c r="S7" i="23"/>
  <c r="T7" i="23"/>
  <c r="A469" i="24"/>
  <c r="A465" i="24"/>
  <c r="A461" i="24"/>
  <c r="A457" i="24"/>
  <c r="A453" i="24"/>
  <c r="A449" i="24"/>
  <c r="A445" i="24"/>
  <c r="A441" i="24"/>
  <c r="A437" i="24"/>
  <c r="A433" i="24"/>
  <c r="A429" i="24"/>
  <c r="A425" i="24"/>
  <c r="A422" i="24"/>
  <c r="A418" i="24"/>
  <c r="A414" i="24"/>
  <c r="A410" i="24"/>
  <c r="A406" i="24"/>
  <c r="A402" i="24"/>
  <c r="A398" i="24"/>
  <c r="A394" i="24"/>
  <c r="A390" i="24"/>
  <c r="A386" i="24"/>
  <c r="A382" i="24"/>
  <c r="A378" i="24"/>
  <c r="A375" i="24"/>
  <c r="A371" i="24"/>
  <c r="A367" i="24"/>
  <c r="A363" i="24"/>
  <c r="A359" i="24"/>
  <c r="A355" i="24"/>
  <c r="A351" i="24"/>
  <c r="A347" i="24"/>
  <c r="A343" i="24"/>
  <c r="A339" i="24"/>
  <c r="A335" i="24"/>
  <c r="A331" i="24"/>
  <c r="A328" i="24"/>
  <c r="A324" i="24"/>
  <c r="A320" i="24"/>
  <c r="A316" i="24"/>
  <c r="A312" i="24"/>
  <c r="A308" i="24"/>
  <c r="A304" i="24"/>
  <c r="A300" i="24"/>
  <c r="A296" i="24"/>
  <c r="A292" i="24"/>
  <c r="A288" i="24"/>
  <c r="A284" i="24"/>
  <c r="A281" i="24"/>
  <c r="A277" i="24"/>
  <c r="A273" i="24"/>
  <c r="A269" i="24"/>
  <c r="A265" i="24"/>
  <c r="A261" i="24"/>
  <c r="A257" i="24"/>
  <c r="A253" i="24"/>
  <c r="A249" i="24"/>
  <c r="A245" i="24"/>
  <c r="A241" i="24"/>
  <c r="A237" i="24"/>
  <c r="A234" i="24"/>
  <c r="A230" i="24"/>
  <c r="A226" i="24"/>
  <c r="A222" i="24"/>
  <c r="A218" i="24"/>
  <c r="A214" i="24"/>
  <c r="A210" i="24"/>
  <c r="A206" i="24"/>
  <c r="A202" i="24"/>
  <c r="A198" i="24"/>
  <c r="A194" i="24"/>
  <c r="A190" i="24"/>
  <c r="A187" i="24"/>
  <c r="A183" i="24"/>
  <c r="A179" i="24"/>
  <c r="A175" i="24"/>
  <c r="A171" i="24"/>
  <c r="A167" i="24"/>
  <c r="A163" i="24"/>
  <c r="A159" i="24"/>
  <c r="A155" i="24"/>
  <c r="A151" i="24"/>
  <c r="A147" i="24"/>
  <c r="A143" i="24"/>
  <c r="A140" i="24"/>
  <c r="A136" i="24"/>
  <c r="A132" i="24"/>
  <c r="A128" i="24"/>
  <c r="A124" i="24"/>
  <c r="A120" i="24"/>
  <c r="A116" i="24"/>
  <c r="A112" i="24"/>
  <c r="A108" i="24"/>
  <c r="A104" i="24"/>
  <c r="A100" i="24"/>
  <c r="A96" i="24"/>
  <c r="A93" i="24"/>
  <c r="A89" i="24"/>
  <c r="A85" i="24"/>
  <c r="A81" i="24"/>
  <c r="A77" i="24"/>
  <c r="A73" i="24"/>
  <c r="S27" i="23"/>
  <c r="T27" i="23"/>
  <c r="S29" i="23"/>
  <c r="T29" i="23"/>
  <c r="S31" i="23"/>
  <c r="T31" i="23"/>
  <c r="A69" i="24"/>
  <c r="A65" i="24"/>
  <c r="A61" i="24"/>
  <c r="A57" i="24"/>
  <c r="A53" i="24"/>
  <c r="A49" i="24"/>
  <c r="A46" i="24"/>
  <c r="A42" i="24"/>
  <c r="A38" i="24"/>
  <c r="A34" i="24"/>
  <c r="A30" i="24"/>
  <c r="A26" i="24"/>
  <c r="K131" i="23"/>
  <c r="A14" i="24"/>
  <c r="J160" i="23"/>
  <c r="I160" i="23"/>
  <c r="J158" i="23"/>
  <c r="I158" i="23"/>
  <c r="J156" i="23"/>
  <c r="I156" i="23"/>
  <c r="D212" i="32" s="1"/>
  <c r="J152" i="23"/>
  <c r="I152" i="23"/>
  <c r="J150" i="23"/>
  <c r="I150" i="23"/>
  <c r="J148" i="23"/>
  <c r="I148" i="23"/>
  <c r="D201" i="32" s="1"/>
  <c r="J144" i="23"/>
  <c r="B190" i="32"/>
  <c r="I144" i="23"/>
  <c r="J142" i="23"/>
  <c r="D188" i="32" s="1"/>
  <c r="I142" i="23"/>
  <c r="J140" i="23"/>
  <c r="I140" i="23"/>
  <c r="D190" i="32" s="1"/>
  <c r="J136" i="23"/>
  <c r="I136" i="23"/>
  <c r="C177" i="32" s="1"/>
  <c r="J134" i="23"/>
  <c r="I134" i="23"/>
  <c r="J132" i="23"/>
  <c r="I132" i="23"/>
  <c r="J128" i="23"/>
  <c r="I128" i="23"/>
  <c r="J126" i="23"/>
  <c r="I126" i="23"/>
  <c r="J124" i="23"/>
  <c r="I124" i="23"/>
  <c r="D169" i="32" s="1"/>
  <c r="J120" i="23"/>
  <c r="I120" i="23"/>
  <c r="J118" i="23"/>
  <c r="I118" i="23"/>
  <c r="J116" i="23"/>
  <c r="I116" i="23"/>
  <c r="J112" i="23"/>
  <c r="D139" i="25" s="1"/>
  <c r="I112" i="23"/>
  <c r="J110" i="23"/>
  <c r="I110" i="23"/>
  <c r="J108" i="23"/>
  <c r="I108" i="23"/>
  <c r="J104" i="23"/>
  <c r="I104" i="23"/>
  <c r="B129" i="25"/>
  <c r="J102" i="23"/>
  <c r="I102" i="23"/>
  <c r="J100" i="23"/>
  <c r="I100" i="23"/>
  <c r="T131" i="23"/>
  <c r="S131" i="23"/>
  <c r="T159" i="23"/>
  <c r="S159" i="23"/>
  <c r="T157" i="23"/>
  <c r="S157" i="23"/>
  <c r="T155" i="23"/>
  <c r="S155" i="23"/>
  <c r="T151" i="23"/>
  <c r="S151" i="23"/>
  <c r="T149" i="23"/>
  <c r="S149" i="23"/>
  <c r="T147" i="23"/>
  <c r="S147" i="23"/>
  <c r="T143" i="23"/>
  <c r="S143" i="23"/>
  <c r="T141" i="23"/>
  <c r="S141" i="23"/>
  <c r="T139" i="23"/>
  <c r="S139" i="23"/>
  <c r="T135" i="23"/>
  <c r="S135" i="23"/>
  <c r="T133" i="23"/>
  <c r="S133" i="23"/>
  <c r="A153" i="23"/>
  <c r="A145" i="23"/>
  <c r="K145" i="23" s="1"/>
  <c r="A137" i="23"/>
  <c r="K137" i="23" s="1"/>
  <c r="A129" i="23"/>
  <c r="O158" i="23"/>
  <c r="N158" i="23"/>
  <c r="M158" i="23"/>
  <c r="L158" i="23"/>
  <c r="K158" i="23"/>
  <c r="O157" i="23"/>
  <c r="N157" i="23"/>
  <c r="M157" i="23"/>
  <c r="L157" i="23"/>
  <c r="K157" i="23"/>
  <c r="O156" i="23"/>
  <c r="N156" i="23"/>
  <c r="M156" i="23"/>
  <c r="L156" i="23"/>
  <c r="K156" i="23"/>
  <c r="O155" i="23"/>
  <c r="N155" i="23"/>
  <c r="M155" i="23"/>
  <c r="L155" i="23"/>
  <c r="K155" i="23"/>
  <c r="K153" i="23"/>
  <c r="O150" i="23"/>
  <c r="N150" i="23"/>
  <c r="M150" i="23"/>
  <c r="L150" i="23"/>
  <c r="K150" i="23"/>
  <c r="O149" i="23"/>
  <c r="N149" i="23"/>
  <c r="M149" i="23"/>
  <c r="L149" i="23"/>
  <c r="K149" i="23"/>
  <c r="O142" i="23"/>
  <c r="N142" i="23"/>
  <c r="M142" i="23"/>
  <c r="L142" i="23"/>
  <c r="K142" i="23"/>
  <c r="O141" i="23"/>
  <c r="N141" i="23"/>
  <c r="M141" i="23"/>
  <c r="L141" i="23"/>
  <c r="K141" i="23"/>
  <c r="O140" i="23"/>
  <c r="N140" i="23"/>
  <c r="M140" i="23"/>
  <c r="L140" i="23"/>
  <c r="K140" i="23"/>
  <c r="O139" i="23"/>
  <c r="N139" i="23"/>
  <c r="M139" i="23"/>
  <c r="L139" i="23"/>
  <c r="K139" i="23"/>
  <c r="O134" i="23"/>
  <c r="N134" i="23"/>
  <c r="M134" i="23"/>
  <c r="L134" i="23"/>
  <c r="K134" i="23"/>
  <c r="O133" i="23"/>
  <c r="N133" i="23"/>
  <c r="M133" i="23"/>
  <c r="L133" i="23"/>
  <c r="K133" i="23"/>
  <c r="O132" i="23"/>
  <c r="N132" i="23"/>
  <c r="M132" i="23"/>
  <c r="L132" i="23"/>
  <c r="K132" i="23"/>
  <c r="O131" i="23"/>
  <c r="N131" i="23"/>
  <c r="M131" i="23"/>
  <c r="L131" i="23"/>
  <c r="K129" i="23"/>
  <c r="G51" i="22"/>
  <c r="C155" i="23" s="1"/>
  <c r="E51" i="22"/>
  <c r="G50" i="22"/>
  <c r="C156" i="23" s="1"/>
  <c r="D453" i="67" s="1"/>
  <c r="E50" i="22"/>
  <c r="G49" i="22"/>
  <c r="B156" i="23" s="1"/>
  <c r="E49" i="22"/>
  <c r="A201" i="32" s="1"/>
  <c r="C197" i="32" s="1"/>
  <c r="G48" i="22"/>
  <c r="B155" i="23" s="1"/>
  <c r="E48" i="22"/>
  <c r="G46" i="22"/>
  <c r="A194" i="32" s="1"/>
  <c r="E186" i="32" s="1"/>
  <c r="E46" i="22"/>
  <c r="A183" i="32" s="1"/>
  <c r="E175" i="32" s="1"/>
  <c r="G45" i="22"/>
  <c r="A192" i="32" s="1"/>
  <c r="D186" i="32" s="1"/>
  <c r="G44" i="22"/>
  <c r="B140" i="23" s="1"/>
  <c r="C406" i="67" s="1"/>
  <c r="C403" i="67" s="1"/>
  <c r="C419" i="67" s="1"/>
  <c r="G43" i="22"/>
  <c r="B139" i="23" s="1"/>
  <c r="E35" i="22"/>
  <c r="E36" i="22"/>
  <c r="G39" i="22"/>
  <c r="B124" i="23" s="1"/>
  <c r="C359" i="67" s="1"/>
  <c r="C356" i="67" s="1"/>
  <c r="C372" i="67" s="1"/>
  <c r="G28" i="22"/>
  <c r="G38" i="22"/>
  <c r="A167" i="32" s="1"/>
  <c r="B165" i="32" s="1"/>
  <c r="E34" i="22"/>
  <c r="A136" i="32" s="1"/>
  <c r="C132" i="32" s="1"/>
  <c r="G35" i="22"/>
  <c r="A149" i="32" s="1"/>
  <c r="D143" i="32" s="1"/>
  <c r="E38" i="22"/>
  <c r="B115" i="23" s="1"/>
  <c r="E40" i="22"/>
  <c r="C116" i="23" s="1"/>
  <c r="D335" i="67" s="1"/>
  <c r="G40" i="22"/>
  <c r="E31" i="22"/>
  <c r="E41" i="22"/>
  <c r="C115" i="23" s="1"/>
  <c r="G31" i="22"/>
  <c r="E25" i="22"/>
  <c r="C4" i="8"/>
  <c r="C5" i="8"/>
  <c r="F5" i="8"/>
  <c r="Y5" i="8" s="1"/>
  <c r="C6" i="8"/>
  <c r="C7" i="8"/>
  <c r="C8" i="8"/>
  <c r="C9" i="8"/>
  <c r="C14" i="8"/>
  <c r="C15" i="8"/>
  <c r="C16" i="8"/>
  <c r="C17" i="8"/>
  <c r="D17" i="8"/>
  <c r="C18" i="8"/>
  <c r="C19" i="8"/>
  <c r="C24" i="8"/>
  <c r="C25" i="8"/>
  <c r="C26" i="8"/>
  <c r="C27" i="8"/>
  <c r="C28" i="8"/>
  <c r="C29" i="8"/>
  <c r="B34" i="8"/>
  <c r="C34" i="8"/>
  <c r="C35" i="8"/>
  <c r="C36" i="8"/>
  <c r="C37" i="8"/>
  <c r="C38" i="8"/>
  <c r="C39" i="8"/>
  <c r="C4" i="25"/>
  <c r="C5" i="25"/>
  <c r="C6" i="25"/>
  <c r="C7" i="25"/>
  <c r="C8" i="25"/>
  <c r="C9" i="25"/>
  <c r="C14" i="25"/>
  <c r="C15" i="25"/>
  <c r="C16" i="25"/>
  <c r="C17" i="25"/>
  <c r="C18" i="25"/>
  <c r="C19" i="25"/>
  <c r="C24" i="25"/>
  <c r="C25" i="25"/>
  <c r="C26" i="25"/>
  <c r="C27" i="25"/>
  <c r="C28" i="25"/>
  <c r="C29" i="25"/>
  <c r="C34" i="25"/>
  <c r="C35" i="25"/>
  <c r="C36" i="25"/>
  <c r="C37" i="25"/>
  <c r="C38" i="25"/>
  <c r="C39" i="25"/>
  <c r="C44" i="25"/>
  <c r="C45" i="25"/>
  <c r="C46" i="25"/>
  <c r="C47" i="25"/>
  <c r="C48" i="25"/>
  <c r="C49" i="25"/>
  <c r="C54" i="25"/>
  <c r="C55" i="25"/>
  <c r="C56" i="25"/>
  <c r="C57" i="25"/>
  <c r="C58" i="25"/>
  <c r="C59" i="25"/>
  <c r="C64" i="25"/>
  <c r="C65" i="25"/>
  <c r="C66" i="25"/>
  <c r="C67" i="25"/>
  <c r="C68" i="25"/>
  <c r="C69" i="25"/>
  <c r="C74" i="25"/>
  <c r="C75" i="25"/>
  <c r="C76" i="25"/>
  <c r="C77" i="25"/>
  <c r="C78" i="25"/>
  <c r="C79" i="25"/>
  <c r="C84" i="25"/>
  <c r="C85" i="25"/>
  <c r="C86" i="25"/>
  <c r="C87" i="25"/>
  <c r="C88" i="25"/>
  <c r="C89" i="25"/>
  <c r="C94" i="25"/>
  <c r="C95" i="25"/>
  <c r="C96" i="25"/>
  <c r="C97" i="25"/>
  <c r="C98" i="25"/>
  <c r="C99" i="25"/>
  <c r="C104" i="25"/>
  <c r="C105" i="25"/>
  <c r="C106" i="25"/>
  <c r="C107" i="25"/>
  <c r="C108" i="25"/>
  <c r="C109" i="25"/>
  <c r="C114" i="25"/>
  <c r="C115" i="25"/>
  <c r="C116" i="25"/>
  <c r="C117" i="25"/>
  <c r="C118" i="25"/>
  <c r="C119" i="25"/>
  <c r="C124" i="25"/>
  <c r="C125" i="25"/>
  <c r="C126" i="25"/>
  <c r="C127" i="25"/>
  <c r="C128" i="25"/>
  <c r="C129" i="25"/>
  <c r="C134" i="25"/>
  <c r="C135" i="25"/>
  <c r="C136" i="25"/>
  <c r="C137" i="25"/>
  <c r="C138" i="25"/>
  <c r="C139" i="25"/>
  <c r="C144" i="25"/>
  <c r="C145" i="25"/>
  <c r="C146" i="25"/>
  <c r="C147" i="25"/>
  <c r="C148" i="25"/>
  <c r="C149" i="25"/>
  <c r="C154" i="25"/>
  <c r="C155" i="25"/>
  <c r="C156" i="25"/>
  <c r="C157" i="25"/>
  <c r="C158" i="25"/>
  <c r="C159" i="25"/>
  <c r="B1" i="15"/>
  <c r="B2" i="15"/>
  <c r="B2" i="21"/>
  <c r="C2" i="21"/>
  <c r="C6" i="21"/>
  <c r="C10" i="21"/>
  <c r="C14" i="21"/>
  <c r="C18" i="21"/>
  <c r="C22" i="21"/>
  <c r="C26" i="21"/>
  <c r="C30" i="21"/>
  <c r="C34" i="21"/>
  <c r="C38" i="21"/>
  <c r="C42" i="21"/>
  <c r="C46" i="21"/>
  <c r="C50" i="21"/>
  <c r="C54" i="21"/>
  <c r="C58" i="21"/>
  <c r="C62" i="21"/>
  <c r="C66" i="21"/>
  <c r="C70" i="21"/>
  <c r="C74" i="21"/>
  <c r="C78" i="21"/>
  <c r="C82" i="21"/>
  <c r="C86" i="21"/>
  <c r="C90" i="21"/>
  <c r="C94" i="21"/>
  <c r="I20" i="3"/>
  <c r="L20" i="3" s="1"/>
  <c r="J20" i="3"/>
  <c r="P20" i="3"/>
  <c r="Q20" i="3"/>
  <c r="I21" i="3"/>
  <c r="J21" i="3"/>
  <c r="P21" i="3"/>
  <c r="I22" i="3"/>
  <c r="J22" i="3"/>
  <c r="M22" i="3"/>
  <c r="P22" i="3"/>
  <c r="I23" i="3"/>
  <c r="J23" i="3"/>
  <c r="M23" i="3"/>
  <c r="P23" i="3"/>
  <c r="I24" i="3"/>
  <c r="J24" i="3"/>
  <c r="P24" i="3"/>
  <c r="I25" i="3"/>
  <c r="J25" i="3"/>
  <c r="M25" i="3"/>
  <c r="P25" i="3"/>
  <c r="I26" i="3"/>
  <c r="M26" i="3" s="1"/>
  <c r="J26" i="3"/>
  <c r="P26" i="3"/>
  <c r="I27" i="3"/>
  <c r="J27" i="3"/>
  <c r="M27" i="3"/>
  <c r="P27" i="3"/>
  <c r="I28" i="3"/>
  <c r="J28" i="3"/>
  <c r="M28" i="3"/>
  <c r="P28" i="3"/>
  <c r="I29" i="3"/>
  <c r="J29" i="3"/>
  <c r="P29" i="3"/>
  <c r="I30" i="3"/>
  <c r="J30" i="3"/>
  <c r="M30" i="3"/>
  <c r="P30" i="3"/>
  <c r="I31" i="3"/>
  <c r="J31" i="3"/>
  <c r="M31" i="3"/>
  <c r="P31" i="3"/>
  <c r="I32" i="3"/>
  <c r="J32" i="3"/>
  <c r="P32" i="3"/>
  <c r="I33" i="3"/>
  <c r="J33" i="3"/>
  <c r="M33" i="3"/>
  <c r="P33" i="3"/>
  <c r="I34" i="3"/>
  <c r="M34" i="3" s="1"/>
  <c r="J34" i="3"/>
  <c r="P34" i="3"/>
  <c r="I35" i="3"/>
  <c r="K35" i="3" s="1"/>
  <c r="E10" i="1" s="1"/>
  <c r="J35" i="3"/>
  <c r="P35" i="3"/>
  <c r="I36" i="3"/>
  <c r="J36" i="3"/>
  <c r="P36" i="3"/>
  <c r="I37" i="3"/>
  <c r="K37" i="3" s="1"/>
  <c r="G44" i="1" s="1"/>
  <c r="J37" i="3"/>
  <c r="P37" i="3"/>
  <c r="I38" i="3"/>
  <c r="J38" i="3"/>
  <c r="P38" i="3"/>
  <c r="I39" i="3"/>
  <c r="K39" i="3" s="1"/>
  <c r="G32" i="1" s="1"/>
  <c r="J39" i="3"/>
  <c r="P39" i="3"/>
  <c r="I40" i="3"/>
  <c r="J40" i="3"/>
  <c r="P40" i="3"/>
  <c r="I41" i="3"/>
  <c r="K41" i="3" s="1"/>
  <c r="G19" i="1" s="1"/>
  <c r="J41" i="3"/>
  <c r="P41" i="3"/>
  <c r="I42" i="3"/>
  <c r="J42" i="3"/>
  <c r="P42" i="3"/>
  <c r="I43" i="3"/>
  <c r="K43" i="3" s="1"/>
  <c r="G7" i="1" s="1"/>
  <c r="J43" i="3"/>
  <c r="P43" i="3"/>
  <c r="B2" i="20"/>
  <c r="C2" i="20"/>
  <c r="D3" i="20"/>
  <c r="C6" i="20"/>
  <c r="D7" i="20"/>
  <c r="C10" i="20"/>
  <c r="D11" i="20"/>
  <c r="C14" i="20"/>
  <c r="D15" i="20"/>
  <c r="C18" i="20"/>
  <c r="D19" i="20"/>
  <c r="C22" i="20"/>
  <c r="D23" i="20"/>
  <c r="C26" i="20"/>
  <c r="D27" i="20"/>
  <c r="C30" i="20"/>
  <c r="D31" i="20"/>
  <c r="C34" i="20"/>
  <c r="C38" i="20"/>
  <c r="C42" i="20"/>
  <c r="C46" i="20"/>
  <c r="C50" i="20"/>
  <c r="C54" i="20"/>
  <c r="C58" i="20"/>
  <c r="C62" i="20"/>
  <c r="C66" i="20"/>
  <c r="C70" i="20"/>
  <c r="C74" i="20"/>
  <c r="C78" i="20"/>
  <c r="C82" i="20"/>
  <c r="C86" i="20"/>
  <c r="C90" i="20"/>
  <c r="C94" i="20"/>
  <c r="A1" i="6"/>
  <c r="K1" i="6" s="1"/>
  <c r="I3" i="6"/>
  <c r="F4" i="8" s="1"/>
  <c r="AF4" i="8" s="1"/>
  <c r="J3" i="6"/>
  <c r="D4" i="8" s="1"/>
  <c r="I4" i="6"/>
  <c r="B5" i="8" s="1"/>
  <c r="J4" i="6"/>
  <c r="D5" i="8" s="1"/>
  <c r="I5" i="6"/>
  <c r="J5" i="6"/>
  <c r="D6" i="8" s="1"/>
  <c r="I6" i="6"/>
  <c r="J6" i="6"/>
  <c r="D7" i="8" s="1"/>
  <c r="I7" i="6"/>
  <c r="F8" i="8" s="1"/>
  <c r="S8" i="8" s="1"/>
  <c r="J7" i="6"/>
  <c r="D8" i="8" s="1"/>
  <c r="I8" i="6"/>
  <c r="B9" i="8" s="1"/>
  <c r="J8" i="6"/>
  <c r="D9" i="8" s="1"/>
  <c r="A9" i="6"/>
  <c r="I11" i="6"/>
  <c r="J11" i="6"/>
  <c r="D14" i="8" s="1"/>
  <c r="I12" i="6"/>
  <c r="B15" i="8" s="1"/>
  <c r="J12" i="6"/>
  <c r="D15" i="8" s="1"/>
  <c r="I13" i="6"/>
  <c r="J13" i="6"/>
  <c r="D16" i="8" s="1"/>
  <c r="I14" i="6"/>
  <c r="J14" i="6"/>
  <c r="I15" i="6"/>
  <c r="J15" i="6"/>
  <c r="D18" i="8" s="1"/>
  <c r="I16" i="6"/>
  <c r="B19" i="8" s="1"/>
  <c r="J16" i="6"/>
  <c r="D19" i="8" s="1"/>
  <c r="A17" i="6"/>
  <c r="A22" i="8" s="1"/>
  <c r="I19" i="6"/>
  <c r="J19" i="6"/>
  <c r="D24" i="8" s="1"/>
  <c r="I20" i="6"/>
  <c r="B25" i="8" s="1"/>
  <c r="J20" i="6"/>
  <c r="D25" i="8" s="1"/>
  <c r="I21" i="6"/>
  <c r="F26" i="8" s="1"/>
  <c r="J21" i="6"/>
  <c r="D26" i="8" s="1"/>
  <c r="I22" i="6"/>
  <c r="B27" i="8" s="1"/>
  <c r="J22" i="6"/>
  <c r="D27" i="8" s="1"/>
  <c r="I23" i="6"/>
  <c r="J23" i="6"/>
  <c r="D28" i="8" s="1"/>
  <c r="I24" i="6"/>
  <c r="B29" i="8" s="1"/>
  <c r="J24" i="6"/>
  <c r="D29" i="8" s="1"/>
  <c r="A25" i="6"/>
  <c r="I27" i="6"/>
  <c r="F34" i="8" s="1"/>
  <c r="J27" i="6"/>
  <c r="D34" i="8" s="1"/>
  <c r="I28" i="6"/>
  <c r="J28" i="6"/>
  <c r="D35" i="8" s="1"/>
  <c r="I29" i="6"/>
  <c r="B36" i="8" s="1"/>
  <c r="J29" i="6"/>
  <c r="D36" i="8" s="1"/>
  <c r="I30" i="6"/>
  <c r="J30" i="6"/>
  <c r="D37" i="8" s="1"/>
  <c r="I31" i="6"/>
  <c r="F38" i="8" s="1"/>
  <c r="J31" i="6"/>
  <c r="D38" i="8" s="1"/>
  <c r="I32" i="6"/>
  <c r="B39" i="8" s="1"/>
  <c r="J32" i="6"/>
  <c r="D39" i="8" s="1"/>
  <c r="F28" i="5"/>
  <c r="B11" i="6" s="1"/>
  <c r="B19" i="6" s="1"/>
  <c r="F31" i="5"/>
  <c r="C2" i="19"/>
  <c r="C6" i="19"/>
  <c r="C10" i="19"/>
  <c r="C14" i="19"/>
  <c r="C18" i="19"/>
  <c r="C22" i="19"/>
  <c r="C26" i="19"/>
  <c r="C30" i="19"/>
  <c r="C34" i="19"/>
  <c r="C38" i="19"/>
  <c r="C42" i="19"/>
  <c r="C46" i="19"/>
  <c r="C50" i="19"/>
  <c r="C54" i="19"/>
  <c r="C58" i="19"/>
  <c r="C62" i="19"/>
  <c r="I3" i="10"/>
  <c r="J3" i="10"/>
  <c r="P3" i="10"/>
  <c r="I4" i="10"/>
  <c r="K4" i="10" s="1"/>
  <c r="J4" i="10"/>
  <c r="M4" i="10"/>
  <c r="P4" i="10"/>
  <c r="I5" i="10"/>
  <c r="J5" i="10"/>
  <c r="P5" i="10"/>
  <c r="I6" i="10"/>
  <c r="M6" i="10" s="1"/>
  <c r="J6" i="10"/>
  <c r="P6" i="10"/>
  <c r="I7" i="10"/>
  <c r="J7" i="10"/>
  <c r="P7" i="10"/>
  <c r="I8" i="10"/>
  <c r="J8" i="10"/>
  <c r="P8" i="10"/>
  <c r="I9" i="10"/>
  <c r="K9" i="10" s="1"/>
  <c r="J9" i="10"/>
  <c r="L9" i="10"/>
  <c r="P9" i="10"/>
  <c r="I10" i="10"/>
  <c r="J10" i="10"/>
  <c r="P10" i="10"/>
  <c r="I11" i="10"/>
  <c r="J11" i="10"/>
  <c r="P11" i="10"/>
  <c r="I12" i="10"/>
  <c r="K12" i="10" s="1"/>
  <c r="J12" i="10"/>
  <c r="L12" i="10"/>
  <c r="M12" i="10"/>
  <c r="P12" i="10"/>
  <c r="I13" i="10"/>
  <c r="J13" i="10"/>
  <c r="P13" i="10"/>
  <c r="I14" i="10"/>
  <c r="J14" i="10"/>
  <c r="P14" i="10"/>
  <c r="I15" i="10"/>
  <c r="J15" i="10"/>
  <c r="P15" i="10"/>
  <c r="I16" i="10"/>
  <c r="K16" i="10" s="1"/>
  <c r="J16" i="10"/>
  <c r="L16" i="10"/>
  <c r="M16" i="10"/>
  <c r="P16" i="10"/>
  <c r="I17" i="10"/>
  <c r="K17" i="10" s="1"/>
  <c r="J17" i="10"/>
  <c r="L17" i="10"/>
  <c r="P17" i="10"/>
  <c r="I18" i="10"/>
  <c r="J18" i="10"/>
  <c r="P18" i="10"/>
  <c r="F5" i="26"/>
  <c r="A2" i="24"/>
  <c r="A6" i="24"/>
  <c r="A10" i="24"/>
  <c r="A18" i="24"/>
  <c r="A22" i="24"/>
  <c r="A1" i="23"/>
  <c r="A2" i="25" s="1"/>
  <c r="I4" i="23"/>
  <c r="D6" i="32" s="1"/>
  <c r="J4" i="23"/>
  <c r="I6" i="23"/>
  <c r="J6" i="23"/>
  <c r="I8" i="23"/>
  <c r="J8" i="23"/>
  <c r="B6" i="32" s="1"/>
  <c r="A9" i="23"/>
  <c r="S11" i="23"/>
  <c r="T11" i="23"/>
  <c r="I12" i="23"/>
  <c r="J12" i="23"/>
  <c r="S13" i="23"/>
  <c r="T13" i="23"/>
  <c r="I14" i="23"/>
  <c r="J14" i="23"/>
  <c r="S15" i="23"/>
  <c r="T15" i="23"/>
  <c r="I16" i="23"/>
  <c r="J16" i="23"/>
  <c r="A17" i="23"/>
  <c r="I20" i="23"/>
  <c r="J20" i="23"/>
  <c r="S21" i="23"/>
  <c r="T21" i="23"/>
  <c r="I22" i="23"/>
  <c r="B30" i="32" s="1"/>
  <c r="J22" i="23"/>
  <c r="S23" i="23"/>
  <c r="T23" i="23"/>
  <c r="I24" i="23"/>
  <c r="J24" i="23"/>
  <c r="B28" i="32" s="1"/>
  <c r="A25" i="23"/>
  <c r="I28" i="23"/>
  <c r="J28" i="23"/>
  <c r="D35" i="25" s="1"/>
  <c r="I30" i="23"/>
  <c r="B37" i="25" s="1"/>
  <c r="J30" i="23"/>
  <c r="I32" i="23"/>
  <c r="B39" i="25" s="1"/>
  <c r="J32" i="23"/>
  <c r="A33" i="23"/>
  <c r="K33" i="23" s="1"/>
  <c r="S35" i="23"/>
  <c r="T35" i="23"/>
  <c r="I36" i="23"/>
  <c r="J36" i="23"/>
  <c r="S37" i="23"/>
  <c r="T37" i="23"/>
  <c r="I38" i="23"/>
  <c r="J38" i="23"/>
  <c r="S39" i="23"/>
  <c r="T39" i="23"/>
  <c r="I40" i="23"/>
  <c r="J40" i="23"/>
  <c r="A41" i="23"/>
  <c r="K41" i="23" s="1"/>
  <c r="S43" i="23"/>
  <c r="T43" i="23"/>
  <c r="I44" i="23"/>
  <c r="J44" i="23"/>
  <c r="S45" i="23"/>
  <c r="T45" i="23"/>
  <c r="I46" i="23"/>
  <c r="J46" i="23"/>
  <c r="S47" i="23"/>
  <c r="T47" i="23"/>
  <c r="I48" i="23"/>
  <c r="J48" i="23"/>
  <c r="A49" i="23"/>
  <c r="S51" i="23"/>
  <c r="T51" i="23"/>
  <c r="I52" i="23"/>
  <c r="J52" i="23"/>
  <c r="S53" i="23"/>
  <c r="T53" i="23"/>
  <c r="I54" i="23"/>
  <c r="J54" i="23"/>
  <c r="S55" i="23"/>
  <c r="T55" i="23"/>
  <c r="I56" i="23"/>
  <c r="J56" i="23"/>
  <c r="A57" i="23"/>
  <c r="S59" i="23"/>
  <c r="T59" i="23"/>
  <c r="I60" i="23"/>
  <c r="J60" i="23"/>
  <c r="C84" i="32" s="1"/>
  <c r="S61" i="23"/>
  <c r="T61" i="23"/>
  <c r="I62" i="23"/>
  <c r="J62" i="23"/>
  <c r="D77" i="25" s="1"/>
  <c r="S63" i="23"/>
  <c r="T63" i="23"/>
  <c r="I64" i="23"/>
  <c r="J64" i="23"/>
  <c r="B82" i="32" s="1"/>
  <c r="A65" i="23"/>
  <c r="K65" i="23" s="1"/>
  <c r="S67" i="23"/>
  <c r="T67" i="23"/>
  <c r="I68" i="23"/>
  <c r="J68" i="23"/>
  <c r="S69" i="23"/>
  <c r="T69" i="23"/>
  <c r="I70" i="23"/>
  <c r="J70" i="23"/>
  <c r="S71" i="23"/>
  <c r="T71" i="23"/>
  <c r="I72" i="23"/>
  <c r="J72" i="23"/>
  <c r="D89" i="25"/>
  <c r="A73" i="23"/>
  <c r="K73" i="23" s="1"/>
  <c r="S75" i="23"/>
  <c r="T75" i="23"/>
  <c r="I76" i="23"/>
  <c r="F95" i="25" s="1"/>
  <c r="B95" i="25"/>
  <c r="J76" i="23"/>
  <c r="S77" i="23"/>
  <c r="T77" i="23"/>
  <c r="I78" i="23"/>
  <c r="J78" i="23"/>
  <c r="D97" i="25" s="1"/>
  <c r="S79" i="23"/>
  <c r="T79" i="23"/>
  <c r="I80" i="23"/>
  <c r="J80" i="23"/>
  <c r="A81" i="23"/>
  <c r="S83" i="23"/>
  <c r="T83" i="23"/>
  <c r="I84" i="23"/>
  <c r="J84" i="23"/>
  <c r="F105" i="25" s="1"/>
  <c r="S85" i="23"/>
  <c r="T85" i="23"/>
  <c r="I86" i="23"/>
  <c r="J86" i="23"/>
  <c r="D107" i="25"/>
  <c r="S87" i="23"/>
  <c r="T87" i="23"/>
  <c r="I88" i="23"/>
  <c r="B109" i="25" s="1"/>
  <c r="J88" i="23"/>
  <c r="A89" i="23"/>
  <c r="K89" i="23" s="1"/>
  <c r="S91" i="23"/>
  <c r="T91" i="23"/>
  <c r="I92" i="23"/>
  <c r="B115" i="25" s="1"/>
  <c r="J92" i="23"/>
  <c r="F115" i="25" s="1"/>
  <c r="S93" i="23"/>
  <c r="T93" i="23"/>
  <c r="I94" i="23"/>
  <c r="J94" i="23"/>
  <c r="S95" i="23"/>
  <c r="T95" i="23"/>
  <c r="I96" i="23"/>
  <c r="B119" i="25"/>
  <c r="J96" i="23"/>
  <c r="D119" i="25" s="1"/>
  <c r="A97" i="23"/>
  <c r="A122" i="25" s="1"/>
  <c r="S99" i="23"/>
  <c r="T99" i="23"/>
  <c r="D125" i="25"/>
  <c r="S101" i="23"/>
  <c r="T101" i="23"/>
  <c r="S103" i="23"/>
  <c r="T103" i="23"/>
  <c r="D129" i="25"/>
  <c r="A105" i="23"/>
  <c r="S107" i="23"/>
  <c r="T107" i="23"/>
  <c r="S109" i="23"/>
  <c r="T109" i="23"/>
  <c r="D137" i="25"/>
  <c r="S111" i="23"/>
  <c r="T111" i="23"/>
  <c r="A113" i="23"/>
  <c r="A142" i="25" s="1"/>
  <c r="S115" i="23"/>
  <c r="T115" i="23"/>
  <c r="S117" i="23"/>
  <c r="T117" i="23"/>
  <c r="S119" i="23"/>
  <c r="T119" i="23"/>
  <c r="B149" i="25"/>
  <c r="A121" i="23"/>
  <c r="A152" i="25" s="1"/>
  <c r="S123" i="23"/>
  <c r="T123" i="23"/>
  <c r="F155" i="25"/>
  <c r="D155" i="25"/>
  <c r="S125" i="23"/>
  <c r="T125" i="23"/>
  <c r="B157" i="25"/>
  <c r="S127" i="23"/>
  <c r="T127" i="23"/>
  <c r="D159" i="25"/>
  <c r="G41" i="22"/>
  <c r="C123" i="23" s="1"/>
  <c r="G34" i="22"/>
  <c r="A147" i="32" s="1"/>
  <c r="C143" i="32" s="1"/>
  <c r="E33" i="22"/>
  <c r="A134" i="32" s="1"/>
  <c r="B132" i="32" s="1"/>
  <c r="E30" i="22"/>
  <c r="G36" i="22"/>
  <c r="D157" i="25"/>
  <c r="C210" i="32"/>
  <c r="B212" i="32"/>
  <c r="E44" i="22"/>
  <c r="A179" i="32" s="1"/>
  <c r="C175" i="32" s="1"/>
  <c r="E43" i="22"/>
  <c r="B131" i="23" s="1"/>
  <c r="E45" i="22"/>
  <c r="B155" i="25"/>
  <c r="F145" i="25"/>
  <c r="B107" i="25"/>
  <c r="B159" i="25"/>
  <c r="A82" i="25"/>
  <c r="B6" i="20"/>
  <c r="F5" i="3"/>
  <c r="C21" i="3"/>
  <c r="C22" i="3" s="1"/>
  <c r="B10" i="21" s="1"/>
  <c r="B7" i="15"/>
  <c r="E39" i="22"/>
  <c r="B116" i="23" s="1"/>
  <c r="G33" i="22"/>
  <c r="A145" i="32" s="1"/>
  <c r="B143" i="32" s="1"/>
  <c r="B6" i="21"/>
  <c r="Q22" i="3"/>
  <c r="R22" i="3"/>
  <c r="C35" i="1" s="1"/>
  <c r="L147" i="23"/>
  <c r="N147" i="23"/>
  <c r="M147" i="23"/>
  <c r="K147" i="23"/>
  <c r="O147" i="23"/>
  <c r="M148" i="23"/>
  <c r="O148" i="23"/>
  <c r="L148" i="23"/>
  <c r="K148" i="23"/>
  <c r="N148" i="23"/>
  <c r="C3" i="10"/>
  <c r="Q3" i="10" s="1"/>
  <c r="F3" i="26"/>
  <c r="B3" i="15"/>
  <c r="F117" i="25"/>
  <c r="B117" i="25"/>
  <c r="D17" i="25"/>
  <c r="F129" i="25"/>
  <c r="B135" i="25"/>
  <c r="B145" i="25"/>
  <c r="D95" i="25"/>
  <c r="D85" i="25"/>
  <c r="B125" i="25"/>
  <c r="F149" i="25"/>
  <c r="L149" i="25" s="1"/>
  <c r="B105" i="25"/>
  <c r="D127" i="25"/>
  <c r="D210" i="32"/>
  <c r="B214" i="32"/>
  <c r="C188" i="32"/>
  <c r="B203" i="32"/>
  <c r="D199" i="32"/>
  <c r="B169" i="32"/>
  <c r="C192" i="32"/>
  <c r="D145" i="25"/>
  <c r="C160" i="32"/>
  <c r="F157" i="25"/>
  <c r="Y157" i="25" s="1"/>
  <c r="B15" i="25"/>
  <c r="L4" i="8"/>
  <c r="B25" i="25"/>
  <c r="G19" i="22"/>
  <c r="A82" i="32" s="1"/>
  <c r="C78" i="32" s="1"/>
  <c r="F29" i="25"/>
  <c r="D9" i="25"/>
  <c r="F119" i="25"/>
  <c r="D99" i="25"/>
  <c r="B89" i="25"/>
  <c r="D117" i="25"/>
  <c r="F7" i="25"/>
  <c r="F107" i="25"/>
  <c r="B29" i="25"/>
  <c r="F15" i="25"/>
  <c r="A92" i="25"/>
  <c r="A42" i="25"/>
  <c r="S4" i="8"/>
  <c r="Z4" i="8"/>
  <c r="R4" i="8"/>
  <c r="AG4" i="8"/>
  <c r="K4" i="8"/>
  <c r="Y4" i="8"/>
  <c r="D29" i="25" l="1"/>
  <c r="F39" i="25"/>
  <c r="B62" i="32"/>
  <c r="B79" i="25"/>
  <c r="C80" i="32"/>
  <c r="D79" i="25"/>
  <c r="D80" i="32"/>
  <c r="B84" i="32"/>
  <c r="B75" i="25"/>
  <c r="D82" i="32"/>
  <c r="D75" i="25"/>
  <c r="B51" i="32"/>
  <c r="D28" i="32"/>
  <c r="C67" i="23"/>
  <c r="C5" i="51"/>
  <c r="F6" i="51" s="1"/>
  <c r="I7" i="51" s="1"/>
  <c r="E5" i="22"/>
  <c r="C21" i="49"/>
  <c r="F20" i="49" s="1"/>
  <c r="I19" i="49" s="1"/>
  <c r="L22" i="49" s="1"/>
  <c r="O16" i="49" s="1"/>
  <c r="G13" i="22"/>
  <c r="C11" i="49"/>
  <c r="F12" i="49" s="1"/>
  <c r="I13" i="49" s="1"/>
  <c r="L10" i="49" s="1"/>
  <c r="E13" i="22"/>
  <c r="C27" i="51"/>
  <c r="F26" i="51" s="1"/>
  <c r="I25" i="51" s="1"/>
  <c r="G4" i="22"/>
  <c r="C23" i="51"/>
  <c r="F24" i="51" s="1"/>
  <c r="E19" i="22"/>
  <c r="B52" i="23" s="1"/>
  <c r="C56" i="23" s="1"/>
  <c r="C9" i="49"/>
  <c r="F8" i="49" s="1"/>
  <c r="E18" i="22"/>
  <c r="B51" i="23" s="1"/>
  <c r="C143" i="67" s="1"/>
  <c r="C148" i="67" s="1"/>
  <c r="C24" i="49"/>
  <c r="E4" i="22"/>
  <c r="C12" i="49"/>
  <c r="G11" i="22"/>
  <c r="C27" i="23" s="1"/>
  <c r="E34" i="25" s="1"/>
  <c r="N32" i="25" s="1"/>
  <c r="AJ35" i="25" s="1"/>
  <c r="C15" i="49"/>
  <c r="F14" i="49" s="1"/>
  <c r="E10" i="22"/>
  <c r="C20" i="23" s="1"/>
  <c r="D53" i="67" s="1"/>
  <c r="C21" i="51"/>
  <c r="F20" i="51" s="1"/>
  <c r="I19" i="51" s="1"/>
  <c r="L22" i="51" s="1"/>
  <c r="O16" i="51" s="1"/>
  <c r="G14" i="22"/>
  <c r="A60" i="32" s="1"/>
  <c r="C56" i="32" s="1"/>
  <c r="C11" i="51"/>
  <c r="F12" i="51" s="1"/>
  <c r="I13" i="51" s="1"/>
  <c r="L10" i="51" s="1"/>
  <c r="E16" i="22"/>
  <c r="C35" i="23" s="1"/>
  <c r="C39" i="23" s="1"/>
  <c r="C14" i="49"/>
  <c r="G15" i="22"/>
  <c r="C44" i="23" s="1"/>
  <c r="E55" i="25" s="1"/>
  <c r="AB52" i="25" s="1"/>
  <c r="AJ57" i="25" s="1"/>
  <c r="C9" i="51"/>
  <c r="E21" i="22"/>
  <c r="C17" i="51"/>
  <c r="F18" i="51" s="1"/>
  <c r="G10" i="22"/>
  <c r="A41" i="32" s="1"/>
  <c r="D35" i="32" s="1"/>
  <c r="C20" i="51"/>
  <c r="E14" i="22"/>
  <c r="B36" i="23" s="1"/>
  <c r="C17" i="49"/>
  <c r="F18" i="49" s="1"/>
  <c r="G8" i="22"/>
  <c r="A37" i="32" s="1"/>
  <c r="B35" i="32" s="1"/>
  <c r="C8" i="49"/>
  <c r="G5" i="22"/>
  <c r="C14" i="51"/>
  <c r="G16" i="22"/>
  <c r="A64" i="32" s="1"/>
  <c r="E56" i="32" s="1"/>
  <c r="C12" i="51"/>
  <c r="G9" i="22"/>
  <c r="C23" i="49"/>
  <c r="E20" i="22"/>
  <c r="C15" i="51"/>
  <c r="F14" i="51" s="1"/>
  <c r="E9" i="22"/>
  <c r="B20" i="23" s="1"/>
  <c r="C53" i="67" s="1"/>
  <c r="C50" i="67" s="1"/>
  <c r="C66" i="67" s="1"/>
  <c r="C8" i="51"/>
  <c r="F8" i="51" s="1"/>
  <c r="G6" i="22"/>
  <c r="C18" i="49"/>
  <c r="E15" i="22"/>
  <c r="C36" i="23" s="1"/>
  <c r="D100" i="67" s="1"/>
  <c r="C18" i="51"/>
  <c r="E6" i="22"/>
  <c r="C20" i="49"/>
  <c r="E8" i="22"/>
  <c r="C27" i="49"/>
  <c r="F26" i="49" s="1"/>
  <c r="I25" i="49" s="1"/>
  <c r="G3" i="22"/>
  <c r="C5" i="49"/>
  <c r="F6" i="49" s="1"/>
  <c r="I7" i="49" s="1"/>
  <c r="E3" i="22"/>
  <c r="AG8" i="8"/>
  <c r="R5" i="8"/>
  <c r="F49" i="25"/>
  <c r="C47" i="32"/>
  <c r="B49" i="25"/>
  <c r="D49" i="25"/>
  <c r="B49" i="32"/>
  <c r="D19" i="25"/>
  <c r="B17" i="32"/>
  <c r="C15" i="32"/>
  <c r="D39" i="25"/>
  <c r="B39" i="32"/>
  <c r="C37" i="32"/>
  <c r="B9" i="25"/>
  <c r="C4" i="32"/>
  <c r="B60" i="32"/>
  <c r="B59" i="25"/>
  <c r="C58" i="32"/>
  <c r="C69" i="32"/>
  <c r="D69" i="25"/>
  <c r="B71" i="32"/>
  <c r="D47" i="32"/>
  <c r="D15" i="32"/>
  <c r="F17" i="25"/>
  <c r="B19" i="32"/>
  <c r="D37" i="25"/>
  <c r="D37" i="32"/>
  <c r="F37" i="25"/>
  <c r="B41" i="32"/>
  <c r="D7" i="25"/>
  <c r="D4" i="32"/>
  <c r="B7" i="25"/>
  <c r="B8" i="32"/>
  <c r="D58" i="32"/>
  <c r="D67" i="25"/>
  <c r="D69" i="32"/>
  <c r="B73" i="32"/>
  <c r="D45" i="25"/>
  <c r="C51" i="32"/>
  <c r="F45" i="25"/>
  <c r="D49" i="32"/>
  <c r="C26" i="32"/>
  <c r="D15" i="25"/>
  <c r="C19" i="32"/>
  <c r="D17" i="32"/>
  <c r="F35" i="25"/>
  <c r="C41" i="32"/>
  <c r="B35" i="25"/>
  <c r="D39" i="32"/>
  <c r="D60" i="32"/>
  <c r="B55" i="25"/>
  <c r="D55" i="25"/>
  <c r="C62" i="32"/>
  <c r="D27" i="25"/>
  <c r="D26" i="32"/>
  <c r="D5" i="25"/>
  <c r="C8" i="32"/>
  <c r="D71" i="32"/>
  <c r="D65" i="25"/>
  <c r="C73" i="32"/>
  <c r="F65" i="25"/>
  <c r="B65" i="25"/>
  <c r="F25" i="25"/>
  <c r="D25" i="25"/>
  <c r="C30" i="32"/>
  <c r="G18" i="22"/>
  <c r="B59" i="23" s="1"/>
  <c r="A188" i="32"/>
  <c r="B186" i="32" s="1"/>
  <c r="C107" i="23"/>
  <c r="D308" i="67" s="1"/>
  <c r="A151" i="32"/>
  <c r="E143" i="32" s="1"/>
  <c r="B83" i="23"/>
  <c r="B88" i="23" s="1"/>
  <c r="A112" i="32"/>
  <c r="B110" i="32" s="1"/>
  <c r="C84" i="23"/>
  <c r="B86" i="23" s="1"/>
  <c r="A116" i="32"/>
  <c r="D110" i="32" s="1"/>
  <c r="C100" i="23"/>
  <c r="B103" i="23" s="1"/>
  <c r="C300" i="67" s="1"/>
  <c r="A138" i="32"/>
  <c r="D132" i="32" s="1"/>
  <c r="C75" i="23"/>
  <c r="R75" i="23" s="1"/>
  <c r="J75" i="23" s="1"/>
  <c r="A107" i="32"/>
  <c r="E99" i="32" s="1"/>
  <c r="B67" i="23"/>
  <c r="B72" i="23" s="1"/>
  <c r="C210" i="67" s="1"/>
  <c r="A90" i="32"/>
  <c r="B88" i="32" s="1"/>
  <c r="C378" i="24"/>
  <c r="C383" i="24" s="1"/>
  <c r="C378" i="67"/>
  <c r="C383" i="67" s="1"/>
  <c r="A144" i="25"/>
  <c r="G142" i="25" s="1"/>
  <c r="AJ144" i="25" s="1"/>
  <c r="C331" i="67"/>
  <c r="C336" i="67" s="1"/>
  <c r="C453" i="24"/>
  <c r="C450" i="24" s="1"/>
  <c r="C466" i="24" s="1"/>
  <c r="C453" i="67"/>
  <c r="C450" i="67" s="1"/>
  <c r="C466" i="67" s="1"/>
  <c r="C92" i="23"/>
  <c r="B94" i="23" s="1"/>
  <c r="A127" i="32"/>
  <c r="D121" i="32" s="1"/>
  <c r="C76" i="23"/>
  <c r="E95" i="25" s="1"/>
  <c r="AB92" i="25" s="1"/>
  <c r="A105" i="32"/>
  <c r="D99" i="32" s="1"/>
  <c r="C59" i="23"/>
  <c r="R59" i="23" s="1"/>
  <c r="J59" i="23" s="1"/>
  <c r="A86" i="32"/>
  <c r="C158" i="23"/>
  <c r="C449" i="67"/>
  <c r="C454" i="67" s="1"/>
  <c r="B92" i="23"/>
  <c r="C96" i="23" s="1"/>
  <c r="A125" i="32"/>
  <c r="C121" i="32" s="1"/>
  <c r="B76" i="23"/>
  <c r="C218" i="67" s="1"/>
  <c r="C215" i="67" s="1"/>
  <c r="C231" i="67" s="1"/>
  <c r="A103" i="32"/>
  <c r="C99" i="32" s="1"/>
  <c r="C68" i="23"/>
  <c r="D194" i="67" s="1"/>
  <c r="A94" i="32"/>
  <c r="D88" i="32" s="1"/>
  <c r="B75" i="23"/>
  <c r="C78" i="23" s="1"/>
  <c r="A101" i="32"/>
  <c r="B99" i="32" s="1"/>
  <c r="B125" i="23"/>
  <c r="C363" i="24" s="1"/>
  <c r="C368" i="24" s="1"/>
  <c r="D355" i="67"/>
  <c r="C91" i="23"/>
  <c r="R91" i="23" s="1"/>
  <c r="J91" i="23" s="1"/>
  <c r="A129" i="32"/>
  <c r="E121" i="32" s="1"/>
  <c r="E84" i="25"/>
  <c r="N82" i="25" s="1"/>
  <c r="AJ85" i="25" s="1"/>
  <c r="Q67" i="23"/>
  <c r="I67" i="23" s="1"/>
  <c r="D190" i="67"/>
  <c r="C117" i="23"/>
  <c r="E146" i="25" s="1"/>
  <c r="C335" i="67"/>
  <c r="C332" i="67" s="1"/>
  <c r="C348" i="67" s="1"/>
  <c r="Q115" i="23"/>
  <c r="I115" i="23" s="1"/>
  <c r="B144" i="25" s="1"/>
  <c r="D331" i="67"/>
  <c r="B91" i="23"/>
  <c r="B96" i="23" s="1"/>
  <c r="A123" i="32"/>
  <c r="B121" i="32" s="1"/>
  <c r="D449" i="24"/>
  <c r="D449" i="67"/>
  <c r="C99" i="23"/>
  <c r="B101" i="23" s="1"/>
  <c r="A140" i="32"/>
  <c r="E132" i="32" s="1"/>
  <c r="B144" i="23"/>
  <c r="C402" i="67"/>
  <c r="C407" i="67" s="1"/>
  <c r="C83" i="23"/>
  <c r="R83" i="23" s="1"/>
  <c r="J83" i="23" s="1"/>
  <c r="A118" i="32"/>
  <c r="E110" i="32" s="1"/>
  <c r="B84" i="23"/>
  <c r="C85" i="23" s="1"/>
  <c r="A114" i="32"/>
  <c r="C110" i="32" s="1"/>
  <c r="B68" i="23"/>
  <c r="A85" i="25" s="1"/>
  <c r="U82" i="25" s="1"/>
  <c r="AJ86" i="25" s="1"/>
  <c r="A92" i="32"/>
  <c r="C88" i="32" s="1"/>
  <c r="C60" i="23"/>
  <c r="B62" i="23" s="1"/>
  <c r="A84" i="32"/>
  <c r="D78" i="32" s="1"/>
  <c r="D115" i="25"/>
  <c r="D105" i="25"/>
  <c r="F79" i="25"/>
  <c r="B45" i="25"/>
  <c r="F9" i="25"/>
  <c r="A190" i="32"/>
  <c r="C186" i="32" s="1"/>
  <c r="C140" i="23"/>
  <c r="B100" i="23"/>
  <c r="Y8" i="8"/>
  <c r="C119" i="23"/>
  <c r="A162" i="32"/>
  <c r="E154" i="32" s="1"/>
  <c r="A212" i="32"/>
  <c r="C208" i="32" s="1"/>
  <c r="B132" i="23"/>
  <c r="A214" i="32"/>
  <c r="D208" i="32" s="1"/>
  <c r="B123" i="23"/>
  <c r="B108" i="23"/>
  <c r="A216" i="32"/>
  <c r="E208" i="32" s="1"/>
  <c r="A169" i="32"/>
  <c r="C165" i="32" s="1"/>
  <c r="A173" i="32"/>
  <c r="E165" i="32" s="1"/>
  <c r="C139" i="23"/>
  <c r="C131" i="23"/>
  <c r="C449" i="24"/>
  <c r="C454" i="24" s="1"/>
  <c r="B69" i="23"/>
  <c r="C160" i="23"/>
  <c r="A210" i="32"/>
  <c r="B208" i="32" s="1"/>
  <c r="B160" i="23"/>
  <c r="A177" i="32"/>
  <c r="B175" i="32" s="1"/>
  <c r="B136" i="23"/>
  <c r="A160" i="32"/>
  <c r="D154" i="32" s="1"/>
  <c r="C134" i="23"/>
  <c r="A145" i="25"/>
  <c r="U142" i="25" s="1"/>
  <c r="AJ146" i="25" s="1"/>
  <c r="B148" i="23"/>
  <c r="C120" i="23"/>
  <c r="C335" i="24"/>
  <c r="C332" i="24" s="1"/>
  <c r="C348" i="24" s="1"/>
  <c r="C108" i="23"/>
  <c r="R155" i="23"/>
  <c r="J155" i="23" s="1"/>
  <c r="C157" i="23"/>
  <c r="D331" i="24"/>
  <c r="B117" i="23"/>
  <c r="E144" i="25"/>
  <c r="N142" i="25" s="1"/>
  <c r="AJ145" i="25" s="1"/>
  <c r="B99" i="23"/>
  <c r="C118" i="23"/>
  <c r="C142" i="23"/>
  <c r="C331" i="24"/>
  <c r="C336" i="24" s="1"/>
  <c r="A156" i="32"/>
  <c r="B154" i="32" s="1"/>
  <c r="B120" i="23"/>
  <c r="D335" i="24"/>
  <c r="B119" i="23"/>
  <c r="B118" i="23"/>
  <c r="E145" i="25"/>
  <c r="AB142" i="25" s="1"/>
  <c r="AJ147" i="25" s="1"/>
  <c r="C159" i="23"/>
  <c r="D465" i="67" s="1"/>
  <c r="Q155" i="23"/>
  <c r="I155" i="23" s="1"/>
  <c r="B157" i="23"/>
  <c r="B107" i="23"/>
  <c r="C402" i="24"/>
  <c r="C407" i="24" s="1"/>
  <c r="A158" i="32"/>
  <c r="C154" i="32" s="1"/>
  <c r="K113" i="23"/>
  <c r="K97" i="23"/>
  <c r="A52" i="25"/>
  <c r="F67" i="25"/>
  <c r="B67" i="25"/>
  <c r="K17" i="23"/>
  <c r="A22" i="25"/>
  <c r="B147" i="23"/>
  <c r="C425" i="67" s="1"/>
  <c r="C430" i="67" s="1"/>
  <c r="A199" i="32"/>
  <c r="B197" i="32" s="1"/>
  <c r="F139" i="25"/>
  <c r="AG139" i="25" s="1"/>
  <c r="B139" i="25"/>
  <c r="A32" i="8"/>
  <c r="K25" i="6"/>
  <c r="B7" i="8"/>
  <c r="F7" i="8"/>
  <c r="K36" i="3"/>
  <c r="G49" i="1" s="1"/>
  <c r="C16" i="2" s="1"/>
  <c r="M36" i="3"/>
  <c r="K8" i="10"/>
  <c r="B7" i="5" s="1"/>
  <c r="B31" i="5" s="1"/>
  <c r="L8" i="10"/>
  <c r="M8" i="10"/>
  <c r="K3" i="10"/>
  <c r="B2" i="5" s="1"/>
  <c r="B20" i="5" s="1"/>
  <c r="D3" i="6" s="1"/>
  <c r="L3" i="10"/>
  <c r="M3" i="10"/>
  <c r="B37" i="8"/>
  <c r="F37" i="8"/>
  <c r="K37" i="8" s="1"/>
  <c r="K29" i="3"/>
  <c r="E46" i="1" s="1"/>
  <c r="E37" i="3" s="1"/>
  <c r="E70" i="21" s="1"/>
  <c r="L29" i="3"/>
  <c r="M29" i="3"/>
  <c r="D177" i="32"/>
  <c r="B181" i="32"/>
  <c r="D109" i="25"/>
  <c r="F109" i="25"/>
  <c r="K57" i="23"/>
  <c r="A72" i="25"/>
  <c r="B19" i="25"/>
  <c r="F19" i="25"/>
  <c r="K38" i="3"/>
  <c r="G39" i="1" s="1"/>
  <c r="G41" i="1" s="1"/>
  <c r="C13" i="2" s="1"/>
  <c r="M38" i="3"/>
  <c r="K33" i="3"/>
  <c r="E35" i="1" s="1"/>
  <c r="E39" i="3" s="1"/>
  <c r="E78" i="21" s="1"/>
  <c r="L33" i="3"/>
  <c r="K27" i="3"/>
  <c r="L27" i="3"/>
  <c r="K21" i="3"/>
  <c r="L21" i="3"/>
  <c r="M21" i="3"/>
  <c r="C127" i="23"/>
  <c r="D371" i="67" s="1"/>
  <c r="S149" i="25"/>
  <c r="C71" i="23"/>
  <c r="R67" i="23"/>
  <c r="J67" i="23" s="1"/>
  <c r="K25" i="3"/>
  <c r="L25" i="3"/>
  <c r="R123" i="23"/>
  <c r="J123" i="23" s="1"/>
  <c r="D154" i="25" s="1"/>
  <c r="D355" i="24"/>
  <c r="K1" i="23"/>
  <c r="K32" i="3"/>
  <c r="E29" i="1" s="1"/>
  <c r="D39" i="3" s="1"/>
  <c r="D78" i="21" s="1"/>
  <c r="L32" i="3"/>
  <c r="M32" i="3"/>
  <c r="AG155" i="25"/>
  <c r="Y155" i="25"/>
  <c r="B97" i="25"/>
  <c r="F97" i="25"/>
  <c r="B17" i="25"/>
  <c r="K11" i="10"/>
  <c r="B10" i="5" s="1"/>
  <c r="B22" i="5" s="1"/>
  <c r="L11" i="10"/>
  <c r="M11" i="10"/>
  <c r="K42" i="3"/>
  <c r="G14" i="1" s="1"/>
  <c r="G16" i="1" s="1"/>
  <c r="C5" i="2" s="1"/>
  <c r="M42" i="3"/>
  <c r="K24" i="3"/>
  <c r="L24" i="3"/>
  <c r="M24" i="3"/>
  <c r="C147" i="23"/>
  <c r="D425" i="67" s="1"/>
  <c r="A205" i="32"/>
  <c r="E197" i="32" s="1"/>
  <c r="B127" i="25"/>
  <c r="F127" i="25"/>
  <c r="L127" i="25" s="1"/>
  <c r="B137" i="25"/>
  <c r="F137" i="25"/>
  <c r="AF137" i="25" s="1"/>
  <c r="C156" i="32"/>
  <c r="C181" i="32"/>
  <c r="D179" i="32"/>
  <c r="B192" i="32"/>
  <c r="R157" i="25"/>
  <c r="AG157" i="25"/>
  <c r="K157" i="25"/>
  <c r="S157" i="25"/>
  <c r="L157" i="25"/>
  <c r="A181" i="32"/>
  <c r="D175" i="32" s="1"/>
  <c r="C132" i="23"/>
  <c r="K49" i="23"/>
  <c r="A62" i="25"/>
  <c r="A12" i="25"/>
  <c r="K9" i="23"/>
  <c r="C128" i="23"/>
  <c r="C125" i="23"/>
  <c r="D363" i="67" s="1"/>
  <c r="A155" i="25"/>
  <c r="U152" i="25" s="1"/>
  <c r="B158" i="32"/>
  <c r="D149" i="25"/>
  <c r="F85" i="25"/>
  <c r="B85" i="25"/>
  <c r="B27" i="25"/>
  <c r="F27" i="25"/>
  <c r="K7" i="10"/>
  <c r="B6" i="5" s="1"/>
  <c r="B36" i="5" s="1"/>
  <c r="M7" i="10"/>
  <c r="F18" i="8"/>
  <c r="S18" i="8" s="1"/>
  <c r="F14" i="8"/>
  <c r="K30" i="3"/>
  <c r="E18" i="1" s="1"/>
  <c r="D41" i="3" s="1"/>
  <c r="D86" i="21" s="1"/>
  <c r="L30" i="3"/>
  <c r="K22" i="3"/>
  <c r="L22" i="3"/>
  <c r="B201" i="32"/>
  <c r="AF129" i="25"/>
  <c r="Z129" i="25"/>
  <c r="F47" i="25"/>
  <c r="B47" i="25"/>
  <c r="K25" i="23"/>
  <c r="A32" i="25"/>
  <c r="L4" i="10"/>
  <c r="K28" i="3"/>
  <c r="E43" i="1" s="1"/>
  <c r="D37" i="3" s="1"/>
  <c r="D70" i="21" s="1"/>
  <c r="L28" i="3"/>
  <c r="A171" i="32"/>
  <c r="D165" i="32" s="1"/>
  <c r="C124" i="23"/>
  <c r="D359" i="67" s="1"/>
  <c r="D167" i="32"/>
  <c r="B171" i="32"/>
  <c r="D87" i="25"/>
  <c r="F87" i="25"/>
  <c r="B69" i="25"/>
  <c r="F69" i="25"/>
  <c r="K15" i="10"/>
  <c r="B14" i="5" s="1"/>
  <c r="B38" i="5" s="1"/>
  <c r="D29" i="6" s="1"/>
  <c r="M15" i="10"/>
  <c r="K40" i="3"/>
  <c r="G24" i="1" s="1"/>
  <c r="C8" i="2" s="1"/>
  <c r="M40" i="3"/>
  <c r="K31" i="3"/>
  <c r="E21" i="1" s="1"/>
  <c r="E41" i="3" s="1"/>
  <c r="E86" i="21" s="1"/>
  <c r="L31" i="3"/>
  <c r="K23" i="3"/>
  <c r="L23" i="3"/>
  <c r="C148" i="23"/>
  <c r="D429" i="67" s="1"/>
  <c r="A203" i="32"/>
  <c r="D197" i="32" s="1"/>
  <c r="F125" i="25"/>
  <c r="L125" i="25" s="1"/>
  <c r="B160" i="32"/>
  <c r="F147" i="25"/>
  <c r="R147" i="25" s="1"/>
  <c r="B147" i="25"/>
  <c r="C167" i="32"/>
  <c r="F159" i="25"/>
  <c r="AG159" i="25" s="1"/>
  <c r="K26" i="3"/>
  <c r="L26" i="3"/>
  <c r="D135" i="25"/>
  <c r="D147" i="25"/>
  <c r="D156" i="32"/>
  <c r="M43" i="3"/>
  <c r="M41" i="3"/>
  <c r="M39" i="3"/>
  <c r="M37" i="3"/>
  <c r="M35" i="3"/>
  <c r="B38" i="8"/>
  <c r="F9" i="8"/>
  <c r="B179" i="32"/>
  <c r="C214" i="32"/>
  <c r="F35" i="8"/>
  <c r="L35" i="8" s="1"/>
  <c r="C203" i="32"/>
  <c r="F89" i="25"/>
  <c r="F75" i="25"/>
  <c r="F16" i="8"/>
  <c r="K16" i="8" s="1"/>
  <c r="D158" i="32"/>
  <c r="C171" i="32"/>
  <c r="R115" i="23"/>
  <c r="J115" i="23" s="1"/>
  <c r="F135" i="25"/>
  <c r="AF135" i="25" s="1"/>
  <c r="S5" i="8"/>
  <c r="AG145" i="25"/>
  <c r="K155" i="25"/>
  <c r="S155" i="25"/>
  <c r="AG5" i="8"/>
  <c r="L155" i="25"/>
  <c r="AF5" i="8"/>
  <c r="Z155" i="25"/>
  <c r="S129" i="25"/>
  <c r="K129" i="25"/>
  <c r="R155" i="25"/>
  <c r="K5" i="8"/>
  <c r="R129" i="25"/>
  <c r="Y129" i="25"/>
  <c r="AF155" i="25"/>
  <c r="Z5" i="8"/>
  <c r="AG129" i="25"/>
  <c r="L5" i="8"/>
  <c r="L129" i="25"/>
  <c r="A112" i="25"/>
  <c r="K18" i="10"/>
  <c r="B17" i="5" s="1"/>
  <c r="B23" i="5" s="1"/>
  <c r="L18" i="10"/>
  <c r="M18" i="10"/>
  <c r="K14" i="10"/>
  <c r="B13" i="5" s="1"/>
  <c r="B37" i="5" s="1"/>
  <c r="L14" i="10"/>
  <c r="M14" i="10"/>
  <c r="K10" i="10"/>
  <c r="B9" i="5" s="1"/>
  <c r="B21" i="5" s="1"/>
  <c r="D4" i="6" s="1"/>
  <c r="L10" i="10"/>
  <c r="M10" i="10"/>
  <c r="C141" i="23"/>
  <c r="C144" i="23"/>
  <c r="C406" i="24"/>
  <c r="C403" i="24" s="1"/>
  <c r="C419" i="24" s="1"/>
  <c r="AF115" i="25"/>
  <c r="AG115" i="25"/>
  <c r="B3" i="10"/>
  <c r="A2" i="19" s="1"/>
  <c r="B4" i="15"/>
  <c r="N8" i="10"/>
  <c r="O8" i="10"/>
  <c r="N4" i="10"/>
  <c r="O4" i="10"/>
  <c r="K105" i="23"/>
  <c r="A132" i="25"/>
  <c r="Q123" i="23"/>
  <c r="I123" i="23" s="1"/>
  <c r="E154" i="25"/>
  <c r="N152" i="25" s="1"/>
  <c r="D57" i="25"/>
  <c r="B60" i="23"/>
  <c r="C171" i="67" s="1"/>
  <c r="C168" i="67" s="1"/>
  <c r="C184" i="67" s="1"/>
  <c r="F57" i="25"/>
  <c r="B57" i="25"/>
  <c r="K14" i="8"/>
  <c r="R14" i="8"/>
  <c r="AF14" i="8"/>
  <c r="AG14" i="8"/>
  <c r="Y14" i="8"/>
  <c r="B159" i="23"/>
  <c r="B158" i="23"/>
  <c r="B99" i="25"/>
  <c r="F99" i="25"/>
  <c r="R99" i="25" s="1"/>
  <c r="B5" i="25"/>
  <c r="K6" i="10"/>
  <c r="B5" i="5" s="1"/>
  <c r="B35" i="5" s="1"/>
  <c r="D27" i="6" s="1"/>
  <c r="A34" i="8" s="1"/>
  <c r="L6" i="10"/>
  <c r="D453" i="24"/>
  <c r="Z14" i="8"/>
  <c r="B4" i="10"/>
  <c r="A6" i="19" s="1"/>
  <c r="B2" i="19"/>
  <c r="C4" i="10"/>
  <c r="L14" i="8"/>
  <c r="D59" i="25"/>
  <c r="F59" i="25"/>
  <c r="F55" i="25"/>
  <c r="K13" i="10"/>
  <c r="B12" i="5" s="1"/>
  <c r="B32" i="5" s="1"/>
  <c r="L13" i="10"/>
  <c r="M13" i="10"/>
  <c r="N11" i="10"/>
  <c r="O11" i="10"/>
  <c r="S16" i="8"/>
  <c r="B87" i="25"/>
  <c r="K5" i="10"/>
  <c r="B4" i="5" s="1"/>
  <c r="B30" i="5" s="1"/>
  <c r="L5" i="10"/>
  <c r="M5" i="10"/>
  <c r="N3" i="10"/>
  <c r="O3" i="10"/>
  <c r="L8" i="8"/>
  <c r="K8" i="8"/>
  <c r="AF8" i="8"/>
  <c r="R8" i="8"/>
  <c r="Z8" i="8"/>
  <c r="C359" i="24"/>
  <c r="C356" i="24" s="1"/>
  <c r="C372" i="24" s="1"/>
  <c r="K121" i="23"/>
  <c r="D47" i="25"/>
  <c r="F5" i="25"/>
  <c r="N16" i="10"/>
  <c r="O16" i="10"/>
  <c r="R16" i="10" s="1"/>
  <c r="N12" i="10"/>
  <c r="O12" i="10"/>
  <c r="M17" i="10"/>
  <c r="R17" i="10" s="1"/>
  <c r="M9" i="10"/>
  <c r="F77" i="25"/>
  <c r="B77" i="25"/>
  <c r="N17" i="10"/>
  <c r="O17" i="10"/>
  <c r="N9" i="10"/>
  <c r="O9" i="10"/>
  <c r="R9" i="10" s="1"/>
  <c r="K34" i="3"/>
  <c r="E4" i="1" s="1"/>
  <c r="D43" i="3" s="1"/>
  <c r="D94" i="21" s="1"/>
  <c r="L34" i="3"/>
  <c r="F39" i="8"/>
  <c r="AG39" i="8" s="1"/>
  <c r="L15" i="10"/>
  <c r="L7" i="10"/>
  <c r="B27" i="6"/>
  <c r="B10" i="20"/>
  <c r="K9" i="6"/>
  <c r="A12" i="8"/>
  <c r="F6" i="8"/>
  <c r="B6" i="8"/>
  <c r="N20" i="3"/>
  <c r="O20" i="3"/>
  <c r="B35" i="8"/>
  <c r="A102" i="25"/>
  <c r="K81" i="23"/>
  <c r="B17" i="8"/>
  <c r="F17" i="8"/>
  <c r="K17" i="8" s="1"/>
  <c r="C23" i="3"/>
  <c r="F28" i="8"/>
  <c r="AG28" i="8" s="1"/>
  <c r="B28" i="8"/>
  <c r="F24" i="8"/>
  <c r="Y24" i="8" s="1"/>
  <c r="B24" i="8"/>
  <c r="M20" i="3"/>
  <c r="R20" i="3"/>
  <c r="C29" i="1" s="1"/>
  <c r="K20" i="3"/>
  <c r="D32" i="3" s="1"/>
  <c r="D50" i="21" s="1"/>
  <c r="B26" i="8"/>
  <c r="Q21" i="3"/>
  <c r="R21" i="3" s="1"/>
  <c r="C32" i="1" s="1"/>
  <c r="K17" i="6"/>
  <c r="F29" i="8"/>
  <c r="R29" i="8" s="1"/>
  <c r="F27" i="8"/>
  <c r="AG27" i="8" s="1"/>
  <c r="F25" i="8"/>
  <c r="Y25" i="8" s="1"/>
  <c r="B18" i="8"/>
  <c r="B16" i="8"/>
  <c r="B14" i="8"/>
  <c r="F19" i="8"/>
  <c r="L19" i="8" s="1"/>
  <c r="F15" i="8"/>
  <c r="R15" i="8" s="1"/>
  <c r="B8" i="8"/>
  <c r="B4" i="8"/>
  <c r="A2" i="8"/>
  <c r="L43" i="3"/>
  <c r="L42" i="3"/>
  <c r="L41" i="3"/>
  <c r="L40" i="3"/>
  <c r="L39" i="3"/>
  <c r="L38" i="3"/>
  <c r="L37" i="3"/>
  <c r="L36" i="3"/>
  <c r="L35" i="3"/>
  <c r="F36" i="8"/>
  <c r="Z36" i="8" s="1"/>
  <c r="C199" i="32"/>
  <c r="S37" i="8"/>
  <c r="S34" i="8"/>
  <c r="L34" i="8"/>
  <c r="AF34" i="8"/>
  <c r="R34" i="8"/>
  <c r="Z34" i="8"/>
  <c r="K34" i="8"/>
  <c r="AG34" i="8"/>
  <c r="Y34" i="8"/>
  <c r="R38" i="8"/>
  <c r="Y38" i="8"/>
  <c r="S38" i="8"/>
  <c r="AF38" i="8"/>
  <c r="Z38" i="8"/>
  <c r="AG38" i="8"/>
  <c r="L38" i="8"/>
  <c r="K38" i="8"/>
  <c r="K159" i="25"/>
  <c r="Y159" i="25"/>
  <c r="R159" i="25"/>
  <c r="AF159" i="25"/>
  <c r="Y125" i="25"/>
  <c r="R125" i="25"/>
  <c r="Y149" i="25"/>
  <c r="Z149" i="25"/>
  <c r="AF149" i="25"/>
  <c r="R149" i="25"/>
  <c r="AG149" i="25"/>
  <c r="K145" i="25"/>
  <c r="Z145" i="25"/>
  <c r="AF145" i="25"/>
  <c r="L145" i="25"/>
  <c r="Y145" i="25"/>
  <c r="R145" i="25"/>
  <c r="B16" i="5"/>
  <c r="B28" i="5" s="1"/>
  <c r="E15" i="6" s="1"/>
  <c r="E18" i="8" s="1"/>
  <c r="B15" i="5"/>
  <c r="B33" i="5" s="1"/>
  <c r="D21" i="6" s="1"/>
  <c r="R4" i="10"/>
  <c r="B3" i="5"/>
  <c r="B25" i="5" s="1"/>
  <c r="D16" i="6" s="1"/>
  <c r="C2" i="2"/>
  <c r="G12" i="1"/>
  <c r="C3" i="2" s="1"/>
  <c r="G37" i="1"/>
  <c r="C11" i="2" s="1"/>
  <c r="C10" i="2"/>
  <c r="AF27" i="8"/>
  <c r="K26" i="8"/>
  <c r="L26" i="8"/>
  <c r="AF26" i="8"/>
  <c r="S26" i="8"/>
  <c r="Y26" i="8"/>
  <c r="Z26" i="8"/>
  <c r="L135" i="25"/>
  <c r="AG26" i="8"/>
  <c r="K149" i="25"/>
  <c r="Z159" i="25"/>
  <c r="R26" i="8"/>
  <c r="S145" i="25"/>
  <c r="S159" i="25"/>
  <c r="S14" i="8"/>
  <c r="F24" i="34"/>
  <c r="F8" i="34"/>
  <c r="F14" i="34"/>
  <c r="F20" i="34"/>
  <c r="F12" i="34"/>
  <c r="F18" i="34"/>
  <c r="I19" i="34"/>
  <c r="I25" i="34"/>
  <c r="I13" i="34"/>
  <c r="L22" i="34"/>
  <c r="F6" i="34"/>
  <c r="Z157" i="25"/>
  <c r="AF157" i="25"/>
  <c r="C6" i="2"/>
  <c r="G22" i="1"/>
  <c r="C7" i="2" s="1"/>
  <c r="R12" i="10"/>
  <c r="B11" i="5"/>
  <c r="B27" i="5" s="1"/>
  <c r="C14" i="2"/>
  <c r="G47" i="1"/>
  <c r="C15" i="2" s="1"/>
  <c r="R17" i="8"/>
  <c r="Z137" i="25"/>
  <c r="B8" i="5"/>
  <c r="B26" i="5" s="1"/>
  <c r="E43" i="3"/>
  <c r="E94" i="21" s="1"/>
  <c r="Y139" i="25"/>
  <c r="D74" i="25" l="1"/>
  <c r="F24" i="49"/>
  <c r="B44" i="23"/>
  <c r="C124" i="67" s="1"/>
  <c r="C121" i="67" s="1"/>
  <c r="C137" i="67" s="1"/>
  <c r="C28" i="23"/>
  <c r="B30" i="23" s="1"/>
  <c r="A37" i="25" s="1"/>
  <c r="C43" i="23"/>
  <c r="C47" i="23" s="1"/>
  <c r="E58" i="25" s="1"/>
  <c r="A51" i="32"/>
  <c r="D45" i="32" s="1"/>
  <c r="A30" i="32"/>
  <c r="D24" i="32" s="1"/>
  <c r="A71" i="32"/>
  <c r="C67" i="32" s="1"/>
  <c r="A43" i="32"/>
  <c r="E35" i="32" s="1"/>
  <c r="A49" i="32"/>
  <c r="C45" i="32" s="1"/>
  <c r="B27" i="23"/>
  <c r="C73" i="67" s="1"/>
  <c r="C78" i="67" s="1"/>
  <c r="A62" i="32"/>
  <c r="D56" i="32" s="1"/>
  <c r="A53" i="32"/>
  <c r="E45" i="32" s="1"/>
  <c r="E114" i="25"/>
  <c r="N112" i="25" s="1"/>
  <c r="AJ115" i="25" s="1"/>
  <c r="AG135" i="25"/>
  <c r="AG16" i="8"/>
  <c r="S24" i="8"/>
  <c r="Z16" i="8"/>
  <c r="AF16" i="8"/>
  <c r="S35" i="8"/>
  <c r="K127" i="25"/>
  <c r="S125" i="25"/>
  <c r="Z37" i="8"/>
  <c r="S139" i="25"/>
  <c r="L27" i="8"/>
  <c r="K139" i="25"/>
  <c r="R16" i="8"/>
  <c r="Z27" i="8"/>
  <c r="K125" i="25"/>
  <c r="AG147" i="25"/>
  <c r="AF125" i="25"/>
  <c r="Y147" i="25"/>
  <c r="Z125" i="25"/>
  <c r="Z147" i="25"/>
  <c r="L16" i="8"/>
  <c r="L37" i="8"/>
  <c r="AF139" i="25"/>
  <c r="S27" i="8"/>
  <c r="K27" i="8"/>
  <c r="AG35" i="8"/>
  <c r="Z139" i="25"/>
  <c r="L29" i="8"/>
  <c r="Y135" i="25"/>
  <c r="AG29" i="8"/>
  <c r="AG137" i="25"/>
  <c r="R135" i="25"/>
  <c r="R137" i="25"/>
  <c r="AF24" i="8"/>
  <c r="AF29" i="8"/>
  <c r="Y35" i="8"/>
  <c r="AF147" i="25"/>
  <c r="AG18" i="8"/>
  <c r="K137" i="25"/>
  <c r="Y137" i="25"/>
  <c r="Z18" i="8"/>
  <c r="S135" i="25"/>
  <c r="L24" i="8"/>
  <c r="S29" i="8"/>
  <c r="K35" i="8"/>
  <c r="K147" i="25"/>
  <c r="S137" i="25"/>
  <c r="K135" i="25"/>
  <c r="Z24" i="8"/>
  <c r="AF35" i="8"/>
  <c r="S147" i="25"/>
  <c r="R24" i="8"/>
  <c r="R35" i="8"/>
  <c r="E105" i="25"/>
  <c r="AB102" i="25" s="1"/>
  <c r="AG109" i="25" s="1"/>
  <c r="B93" i="23"/>
  <c r="R93" i="23" s="1"/>
  <c r="J93" i="23" s="1"/>
  <c r="E125" i="25"/>
  <c r="AB122" i="25" s="1"/>
  <c r="AJ127" i="25" s="1"/>
  <c r="D288" i="24"/>
  <c r="E85" i="25"/>
  <c r="AB82" i="25" s="1"/>
  <c r="AC85" i="25" s="1"/>
  <c r="B71" i="23"/>
  <c r="A88" i="25" s="1"/>
  <c r="A114" i="25"/>
  <c r="G112" i="25" s="1"/>
  <c r="AJ114" i="25" s="1"/>
  <c r="C69" i="23"/>
  <c r="E86" i="25" s="1"/>
  <c r="A69" i="32"/>
  <c r="B67" i="32" s="1"/>
  <c r="E45" i="25"/>
  <c r="AB42" i="25" s="1"/>
  <c r="AJ47" i="25" s="1"/>
  <c r="B39" i="23"/>
  <c r="C112" i="67" s="1"/>
  <c r="C53" i="23"/>
  <c r="E66" i="25" s="1"/>
  <c r="B38" i="23"/>
  <c r="A47" i="25" s="1"/>
  <c r="A94" i="25"/>
  <c r="G92" i="25" s="1"/>
  <c r="AJ94" i="25" s="1"/>
  <c r="A156" i="25"/>
  <c r="C19" i="23"/>
  <c r="E24" i="25" s="1"/>
  <c r="N22" i="25" s="1"/>
  <c r="R125" i="23"/>
  <c r="J125" i="23" s="1"/>
  <c r="D156" i="25" s="1"/>
  <c r="B95" i="23"/>
  <c r="A118" i="25" s="1"/>
  <c r="A95" i="25"/>
  <c r="U92" i="25" s="1"/>
  <c r="AJ96" i="25" s="1"/>
  <c r="C80" i="23"/>
  <c r="E99" i="25" s="1"/>
  <c r="E104" i="25"/>
  <c r="N102" i="25" s="1"/>
  <c r="AJ105" i="25" s="1"/>
  <c r="B85" i="23"/>
  <c r="R85" i="23" s="1"/>
  <c r="J85" i="23" s="1"/>
  <c r="C77" i="23"/>
  <c r="E96" i="25" s="1"/>
  <c r="B29" i="23"/>
  <c r="A36" i="25" s="1"/>
  <c r="C63" i="23"/>
  <c r="D183" i="67" s="1"/>
  <c r="E74" i="25"/>
  <c r="N72" i="25" s="1"/>
  <c r="S77" i="25" s="1"/>
  <c r="R27" i="23"/>
  <c r="J27" i="23" s="1"/>
  <c r="D34" i="25" s="1"/>
  <c r="C31" i="23"/>
  <c r="D89" i="67" s="1"/>
  <c r="C54" i="23"/>
  <c r="D155" i="67" s="1"/>
  <c r="B56" i="23"/>
  <c r="A69" i="25" s="1"/>
  <c r="A64" i="25"/>
  <c r="G62" i="25" s="1"/>
  <c r="AJ64" i="25" s="1"/>
  <c r="A84" i="25"/>
  <c r="G82" i="25" s="1"/>
  <c r="A104" i="25"/>
  <c r="G102" i="25" s="1"/>
  <c r="B70" i="23"/>
  <c r="A87" i="25" s="1"/>
  <c r="A28" i="32"/>
  <c r="C24" i="32" s="1"/>
  <c r="B22" i="23"/>
  <c r="A27" i="25" s="1"/>
  <c r="C93" i="23"/>
  <c r="E116" i="25" s="1"/>
  <c r="A74" i="25"/>
  <c r="G72" i="25" s="1"/>
  <c r="AJ74" i="25" s="1"/>
  <c r="B64" i="23"/>
  <c r="A79" i="25" s="1"/>
  <c r="A80" i="32"/>
  <c r="B78" i="32" s="1"/>
  <c r="B23" i="23"/>
  <c r="A28" i="25" s="1"/>
  <c r="Q99" i="23"/>
  <c r="I99" i="23" s="1"/>
  <c r="B124" i="25" s="1"/>
  <c r="C79" i="23"/>
  <c r="R79" i="23" s="1"/>
  <c r="J79" i="23" s="1"/>
  <c r="Q107" i="23"/>
  <c r="I107" i="23" s="1"/>
  <c r="B134" i="25" s="1"/>
  <c r="A105" i="25"/>
  <c r="U102" i="25" s="1"/>
  <c r="AJ106" i="25" s="1"/>
  <c r="R107" i="23"/>
  <c r="J107" i="23" s="1"/>
  <c r="D134" i="25" s="1"/>
  <c r="C103" i="23"/>
  <c r="D300" i="67" s="1"/>
  <c r="F156" i="32"/>
  <c r="B77" i="23"/>
  <c r="R77" i="23" s="1"/>
  <c r="J77" i="23" s="1"/>
  <c r="R99" i="23"/>
  <c r="J99" i="23" s="1"/>
  <c r="D308" i="24"/>
  <c r="E134" i="25"/>
  <c r="N132" i="25" s="1"/>
  <c r="AJ135" i="25" s="1"/>
  <c r="C111" i="23"/>
  <c r="D324" i="67" s="1"/>
  <c r="B109" i="23"/>
  <c r="C316" i="67" s="1"/>
  <c r="C321" i="67" s="1"/>
  <c r="E124" i="25"/>
  <c r="N122" i="25" s="1"/>
  <c r="AJ125" i="25" s="1"/>
  <c r="B79" i="23"/>
  <c r="C230" i="67" s="1"/>
  <c r="E25" i="25"/>
  <c r="AB22" i="25" s="1"/>
  <c r="E48" i="25"/>
  <c r="Q39" i="23"/>
  <c r="I39" i="23" s="1"/>
  <c r="D112" i="67"/>
  <c r="E106" i="25"/>
  <c r="D245" i="67"/>
  <c r="A126" i="25"/>
  <c r="C292" i="67"/>
  <c r="C297" i="67" s="1"/>
  <c r="C4" i="23"/>
  <c r="D6" i="67" s="1"/>
  <c r="A8" i="32"/>
  <c r="D2" i="32" s="1"/>
  <c r="C52" i="23"/>
  <c r="D147" i="67" s="1"/>
  <c r="A73" i="32"/>
  <c r="D67" i="32" s="1"/>
  <c r="D84" i="25"/>
  <c r="B96" i="32"/>
  <c r="E69" i="25"/>
  <c r="D163" i="67"/>
  <c r="A149" i="25"/>
  <c r="C351" i="67"/>
  <c r="D414" i="24"/>
  <c r="D414" i="67"/>
  <c r="C382" i="24"/>
  <c r="C379" i="24" s="1"/>
  <c r="C395" i="24" s="1"/>
  <c r="C382" i="67"/>
  <c r="C379" i="67" s="1"/>
  <c r="C395" i="67" s="1"/>
  <c r="B19" i="23"/>
  <c r="A24" i="25" s="1"/>
  <c r="G22" i="25" s="1"/>
  <c r="A26" i="32"/>
  <c r="B24" i="32" s="1"/>
  <c r="C87" i="23"/>
  <c r="Q83" i="23"/>
  <c r="I83" i="23" s="1"/>
  <c r="B118" i="32" s="1"/>
  <c r="D237" i="67"/>
  <c r="D339" i="24"/>
  <c r="D339" i="67"/>
  <c r="B102" i="23"/>
  <c r="D288" i="67"/>
  <c r="B35" i="23"/>
  <c r="C96" i="67" s="1"/>
  <c r="C101" i="67" s="1"/>
  <c r="A47" i="32"/>
  <c r="B45" i="32" s="1"/>
  <c r="A109" i="25"/>
  <c r="C257" i="67"/>
  <c r="A77" i="25"/>
  <c r="C179" i="67"/>
  <c r="C176" i="67" s="1"/>
  <c r="C188" i="67" s="1"/>
  <c r="D343" i="24"/>
  <c r="D343" i="67"/>
  <c r="C398" i="24"/>
  <c r="C411" i="24" s="1"/>
  <c r="C423" i="24" s="1"/>
  <c r="C398" i="67"/>
  <c r="C411" i="67" s="1"/>
  <c r="C423" i="67" s="1"/>
  <c r="C143" i="23"/>
  <c r="D418" i="24" s="1"/>
  <c r="D402" i="67"/>
  <c r="C11" i="23"/>
  <c r="E14" i="25" s="1"/>
  <c r="N12" i="25" s="1"/>
  <c r="AJ15" i="25" s="1"/>
  <c r="A21" i="32"/>
  <c r="E13" i="32" s="1"/>
  <c r="C37" i="23"/>
  <c r="C100" i="67"/>
  <c r="C97" i="67" s="1"/>
  <c r="C113" i="67" s="1"/>
  <c r="B78" i="23"/>
  <c r="D218" i="67"/>
  <c r="C223" i="67" s="1"/>
  <c r="C235" i="67" s="1"/>
  <c r="D422" i="24"/>
  <c r="D422" i="67"/>
  <c r="B43" i="23"/>
  <c r="C120" i="67" s="1"/>
  <c r="C125" i="67" s="1"/>
  <c r="A58" i="32"/>
  <c r="B56" i="32" s="1"/>
  <c r="B3" i="23"/>
  <c r="C2" i="67" s="1"/>
  <c r="C7" i="67" s="1"/>
  <c r="A4" i="32"/>
  <c r="B2" i="32" s="1"/>
  <c r="D206" i="67"/>
  <c r="Q71" i="23"/>
  <c r="I71" i="23" s="1"/>
  <c r="B47" i="23"/>
  <c r="C469" i="24"/>
  <c r="C469" i="67"/>
  <c r="C101" i="23"/>
  <c r="E126" i="25" s="1"/>
  <c r="C288" i="67"/>
  <c r="C285" i="67" s="1"/>
  <c r="C301" i="67" s="1"/>
  <c r="B4" i="23"/>
  <c r="A6" i="32"/>
  <c r="C2" i="32" s="1"/>
  <c r="B63" i="23"/>
  <c r="D171" i="67"/>
  <c r="B80" i="23"/>
  <c r="C214" i="67"/>
  <c r="C219" i="67" s="1"/>
  <c r="D461" i="24"/>
  <c r="D461" i="67"/>
  <c r="E115" i="25"/>
  <c r="AB112" i="25" s="1"/>
  <c r="AJ117" i="25" s="1"/>
  <c r="D265" i="67"/>
  <c r="B12" i="23"/>
  <c r="C30" i="67" s="1"/>
  <c r="C27" i="67" s="1"/>
  <c r="C43" i="67" s="1"/>
  <c r="A17" i="32"/>
  <c r="C13" i="32" s="1"/>
  <c r="D410" i="24"/>
  <c r="D410" i="67"/>
  <c r="E44" i="25"/>
  <c r="N42" i="25" s="1"/>
  <c r="AJ45" i="25" s="1"/>
  <c r="C24" i="23"/>
  <c r="D312" i="24"/>
  <c r="D312" i="67"/>
  <c r="C21" i="23"/>
  <c r="D94" i="25"/>
  <c r="B142" i="23"/>
  <c r="D406" i="67"/>
  <c r="C3" i="23"/>
  <c r="B5" i="23" s="1"/>
  <c r="A10" i="32"/>
  <c r="C422" i="24"/>
  <c r="C422" i="67"/>
  <c r="B11" i="23"/>
  <c r="A15" i="32"/>
  <c r="B13" i="32" s="1"/>
  <c r="B87" i="23"/>
  <c r="D241" i="67"/>
  <c r="A117" i="25"/>
  <c r="C273" i="67"/>
  <c r="C270" i="67" s="1"/>
  <c r="C282" i="67" s="1"/>
  <c r="Q35" i="23"/>
  <c r="I35" i="23" s="1"/>
  <c r="D96" i="67"/>
  <c r="D382" i="24"/>
  <c r="D382" i="67"/>
  <c r="B37" i="23"/>
  <c r="R35" i="23"/>
  <c r="J35" i="23" s="1"/>
  <c r="D44" i="25" s="1"/>
  <c r="B104" i="23"/>
  <c r="C304" i="67" s="1"/>
  <c r="C317" i="67" s="1"/>
  <c r="C329" i="67" s="1"/>
  <c r="C284" i="67"/>
  <c r="C289" i="67" s="1"/>
  <c r="B84" i="25"/>
  <c r="G90" i="32"/>
  <c r="F90" i="32"/>
  <c r="E90" i="32"/>
  <c r="A25" i="25"/>
  <c r="U22" i="25" s="1"/>
  <c r="AJ26" i="25" s="1"/>
  <c r="C95" i="23"/>
  <c r="D261" i="67"/>
  <c r="Q91" i="23"/>
  <c r="I91" i="23" s="1"/>
  <c r="D73" i="67"/>
  <c r="Q27" i="23"/>
  <c r="I27" i="23" s="1"/>
  <c r="B34" i="25" s="1"/>
  <c r="C465" i="24"/>
  <c r="C465" i="67"/>
  <c r="D104" i="25"/>
  <c r="B46" i="23"/>
  <c r="D124" i="67"/>
  <c r="C129" i="67" s="1"/>
  <c r="C141" i="67" s="1"/>
  <c r="A107" i="25"/>
  <c r="C249" i="67"/>
  <c r="C246" i="67" s="1"/>
  <c r="C258" i="67" s="1"/>
  <c r="B112" i="23"/>
  <c r="C328" i="67" s="1"/>
  <c r="C308" i="67"/>
  <c r="C313" i="67" s="1"/>
  <c r="C343" i="24"/>
  <c r="C340" i="24" s="1"/>
  <c r="C352" i="24" s="1"/>
  <c r="C343" i="67"/>
  <c r="C340" i="67" s="1"/>
  <c r="C352" i="67" s="1"/>
  <c r="C40" i="23"/>
  <c r="D457" i="24"/>
  <c r="D457" i="67"/>
  <c r="E149" i="25"/>
  <c r="D351" i="67"/>
  <c r="D469" i="24"/>
  <c r="D469" i="67"/>
  <c r="R119" i="23"/>
  <c r="J119" i="23" s="1"/>
  <c r="D148" i="25" s="1"/>
  <c r="D347" i="67"/>
  <c r="B28" i="23"/>
  <c r="C29" i="23" s="1"/>
  <c r="A39" i="32"/>
  <c r="C35" i="32" s="1"/>
  <c r="C72" i="23"/>
  <c r="C194" i="67"/>
  <c r="C191" i="67" s="1"/>
  <c r="C207" i="67" s="1"/>
  <c r="C94" i="23"/>
  <c r="C261" i="67"/>
  <c r="C266" i="67" s="1"/>
  <c r="C70" i="23"/>
  <c r="C190" i="67"/>
  <c r="C195" i="67" s="1"/>
  <c r="C86" i="23"/>
  <c r="C237" i="67"/>
  <c r="C242" i="67" s="1"/>
  <c r="E97" i="25"/>
  <c r="D226" i="67"/>
  <c r="A119" i="25"/>
  <c r="C281" i="67"/>
  <c r="E119" i="25"/>
  <c r="D281" i="67"/>
  <c r="C457" i="24"/>
  <c r="C462" i="24" s="1"/>
  <c r="C457" i="67"/>
  <c r="C462" i="67" s="1"/>
  <c r="C347" i="24"/>
  <c r="C347" i="67"/>
  <c r="C149" i="23"/>
  <c r="C429" i="67"/>
  <c r="C426" i="67" s="1"/>
  <c r="C442" i="67" s="1"/>
  <c r="D390" i="24"/>
  <c r="D390" i="67"/>
  <c r="Q69" i="23"/>
  <c r="I69" i="23" s="1"/>
  <c r="C198" i="67"/>
  <c r="C203" i="67" s="1"/>
  <c r="R69" i="23"/>
  <c r="J69" i="23" s="1"/>
  <c r="C312" i="24"/>
  <c r="C309" i="24" s="1"/>
  <c r="C325" i="24" s="1"/>
  <c r="C312" i="67"/>
  <c r="C309" i="67" s="1"/>
  <c r="C325" i="67" s="1"/>
  <c r="A65" i="25"/>
  <c r="C147" i="67"/>
  <c r="C144" i="67" s="1"/>
  <c r="C160" i="67" s="1"/>
  <c r="Q125" i="23"/>
  <c r="I125" i="23" s="1"/>
  <c r="B156" i="25" s="1"/>
  <c r="C363" i="67"/>
  <c r="C368" i="67" s="1"/>
  <c r="C62" i="23"/>
  <c r="C167" i="67"/>
  <c r="C172" i="67" s="1"/>
  <c r="A115" i="25"/>
  <c r="C265" i="67"/>
  <c r="C262" i="67" s="1"/>
  <c r="C278" i="67" s="1"/>
  <c r="B61" i="23"/>
  <c r="D167" i="67"/>
  <c r="Q59" i="23"/>
  <c r="I59" i="23" s="1"/>
  <c r="A45" i="25"/>
  <c r="C461" i="24"/>
  <c r="C458" i="24" s="1"/>
  <c r="C470" i="24" s="1"/>
  <c r="C461" i="67"/>
  <c r="C458" i="67" s="1"/>
  <c r="C470" i="67" s="1"/>
  <c r="E159" i="25"/>
  <c r="D375" i="67"/>
  <c r="C339" i="24"/>
  <c r="C344" i="24" s="1"/>
  <c r="C339" i="67"/>
  <c r="C344" i="67" s="1"/>
  <c r="B133" i="23"/>
  <c r="Q133" i="23" s="1"/>
  <c r="I133" i="23" s="1"/>
  <c r="D378" i="67"/>
  <c r="A154" i="25"/>
  <c r="G152" i="25" s="1"/>
  <c r="AJ154" i="25" s="1"/>
  <c r="C355" i="67"/>
  <c r="C360" i="67" s="1"/>
  <c r="C12" i="23"/>
  <c r="B14" i="23" s="1"/>
  <c r="A19" i="32"/>
  <c r="D13" i="32" s="1"/>
  <c r="C88" i="23"/>
  <c r="C241" i="67"/>
  <c r="C238" i="67" s="1"/>
  <c r="C254" i="67" s="1"/>
  <c r="D284" i="24"/>
  <c r="D284" i="67"/>
  <c r="E94" i="25"/>
  <c r="N92" i="25" s="1"/>
  <c r="AJ95" i="25" s="1"/>
  <c r="Q75" i="23"/>
  <c r="I75" i="23" s="1"/>
  <c r="F94" i="25" s="1"/>
  <c r="D214" i="67"/>
  <c r="E75" i="25"/>
  <c r="AB72" i="25" s="1"/>
  <c r="AJ77" i="25" s="1"/>
  <c r="C51" i="23"/>
  <c r="B53" i="23" s="1"/>
  <c r="A75" i="32"/>
  <c r="C104" i="23"/>
  <c r="D304" i="67" s="1"/>
  <c r="C288" i="24"/>
  <c r="C285" i="24" s="1"/>
  <c r="C301" i="24" s="1"/>
  <c r="B143" i="23"/>
  <c r="D406" i="24"/>
  <c r="Z105" i="25"/>
  <c r="Y105" i="25"/>
  <c r="A125" i="25"/>
  <c r="U122" i="25" s="1"/>
  <c r="AJ126" i="25" s="1"/>
  <c r="L85" i="25"/>
  <c r="Z85" i="25"/>
  <c r="S85" i="25"/>
  <c r="R85" i="25"/>
  <c r="Y85" i="25"/>
  <c r="D347" i="24"/>
  <c r="E148" i="25"/>
  <c r="R39" i="23"/>
  <c r="J39" i="23" s="1"/>
  <c r="D48" i="25" s="1"/>
  <c r="Q119" i="23"/>
  <c r="I119" i="23" s="1"/>
  <c r="K29" i="8"/>
  <c r="L147" i="25"/>
  <c r="Y16" i="8"/>
  <c r="AG25" i="8"/>
  <c r="L28" i="8"/>
  <c r="L159" i="25"/>
  <c r="Z35" i="8"/>
  <c r="C126" i="23"/>
  <c r="A135" i="25"/>
  <c r="U132" i="25" s="1"/>
  <c r="AJ136" i="25" s="1"/>
  <c r="C355" i="24"/>
  <c r="C360" i="24" s="1"/>
  <c r="C136" i="23"/>
  <c r="C109" i="23"/>
  <c r="C112" i="23"/>
  <c r="B128" i="23"/>
  <c r="C375" i="67" s="1"/>
  <c r="C133" i="23"/>
  <c r="A86" i="25"/>
  <c r="AG87" i="25"/>
  <c r="D351" i="24"/>
  <c r="AF85" i="25"/>
  <c r="R101" i="23"/>
  <c r="J101" i="23" s="1"/>
  <c r="R139" i="23"/>
  <c r="J139" i="23" s="1"/>
  <c r="C292" i="24"/>
  <c r="C297" i="24" s="1"/>
  <c r="AG85" i="25"/>
  <c r="Q101" i="23"/>
  <c r="I101" i="23" s="1"/>
  <c r="Y109" i="25"/>
  <c r="L109" i="25"/>
  <c r="R3" i="10"/>
  <c r="D378" i="24"/>
  <c r="K109" i="25"/>
  <c r="Q139" i="23"/>
  <c r="I139" i="23" s="1"/>
  <c r="Z109" i="25"/>
  <c r="D402" i="24"/>
  <c r="Q131" i="23"/>
  <c r="I131" i="23" s="1"/>
  <c r="B141" i="23"/>
  <c r="C135" i="23"/>
  <c r="R131" i="23"/>
  <c r="J131" i="23" s="1"/>
  <c r="U145" i="25"/>
  <c r="W145" i="25" s="1"/>
  <c r="F84" i="25"/>
  <c r="B134" i="23"/>
  <c r="AC145" i="25"/>
  <c r="G51" i="1"/>
  <c r="C17" i="2" s="1"/>
  <c r="AF117" i="25"/>
  <c r="E135" i="25"/>
  <c r="AB132" i="25" s="1"/>
  <c r="C284" i="24"/>
  <c r="C289" i="24" s="1"/>
  <c r="L105" i="25"/>
  <c r="Z115" i="25"/>
  <c r="B110" i="23"/>
  <c r="B111" i="23"/>
  <c r="G26" i="1"/>
  <c r="C9" i="2" s="1"/>
  <c r="H145" i="25"/>
  <c r="AB145" i="25"/>
  <c r="AD145" i="25" s="1"/>
  <c r="X145" i="25"/>
  <c r="Y95" i="25"/>
  <c r="Q145" i="25"/>
  <c r="A147" i="25"/>
  <c r="V145" i="25"/>
  <c r="O145" i="25"/>
  <c r="F144" i="25"/>
  <c r="AG144" i="25" s="1"/>
  <c r="N145" i="25"/>
  <c r="P145" i="25" s="1"/>
  <c r="G145" i="25"/>
  <c r="I145" i="25" s="1"/>
  <c r="AE145" i="25"/>
  <c r="Z95" i="25"/>
  <c r="J145" i="25"/>
  <c r="C152" i="23"/>
  <c r="B162" i="32"/>
  <c r="C429" i="24"/>
  <c r="C426" i="24" s="1"/>
  <c r="C442" i="24" s="1"/>
  <c r="G210" i="32"/>
  <c r="E156" i="32"/>
  <c r="B135" i="23"/>
  <c r="A124" i="25"/>
  <c r="G122" i="25" s="1"/>
  <c r="AJ124" i="25" s="1"/>
  <c r="B216" i="32"/>
  <c r="A148" i="25"/>
  <c r="C351" i="24"/>
  <c r="E147" i="25"/>
  <c r="C102" i="23"/>
  <c r="D375" i="24"/>
  <c r="F210" i="32"/>
  <c r="E210" i="32"/>
  <c r="AG117" i="25"/>
  <c r="D11" i="6"/>
  <c r="D6" i="20" s="1"/>
  <c r="C12" i="2"/>
  <c r="Q117" i="23"/>
  <c r="I117" i="23" s="1"/>
  <c r="A146" i="25"/>
  <c r="E14" i="6"/>
  <c r="E54" i="20" s="1"/>
  <c r="R117" i="23"/>
  <c r="J117" i="23" s="1"/>
  <c r="D146" i="25" s="1"/>
  <c r="K79" i="25"/>
  <c r="S95" i="25"/>
  <c r="L79" i="25"/>
  <c r="S109" i="25"/>
  <c r="R95" i="25"/>
  <c r="AG95" i="25"/>
  <c r="S105" i="25"/>
  <c r="C308" i="24"/>
  <c r="C313" i="24" s="1"/>
  <c r="R105" i="25"/>
  <c r="R109" i="25"/>
  <c r="K119" i="25"/>
  <c r="A134" i="25"/>
  <c r="G132" i="25" s="1"/>
  <c r="C110" i="23"/>
  <c r="D320" i="67" s="1"/>
  <c r="E11" i="6"/>
  <c r="E6" i="20" s="1"/>
  <c r="Y119" i="25"/>
  <c r="R157" i="23"/>
  <c r="J157" i="23" s="1"/>
  <c r="Q157" i="23"/>
  <c r="I157" i="23" s="1"/>
  <c r="E70" i="20"/>
  <c r="L95" i="25"/>
  <c r="D8" i="6"/>
  <c r="A9" i="8" s="1"/>
  <c r="D465" i="24"/>
  <c r="Q159" i="23"/>
  <c r="I159" i="23" s="1"/>
  <c r="R159" i="23"/>
  <c r="J159" i="23" s="1"/>
  <c r="L39" i="8"/>
  <c r="AF37" i="8"/>
  <c r="R37" i="8"/>
  <c r="Y37" i="8"/>
  <c r="Z99" i="25"/>
  <c r="AG37" i="8"/>
  <c r="S25" i="8"/>
  <c r="S17" i="8"/>
  <c r="C4" i="2"/>
  <c r="C28" i="1"/>
  <c r="E39" i="1" s="1"/>
  <c r="D38" i="3" s="1"/>
  <c r="D74" i="21" s="1"/>
  <c r="AF39" i="8"/>
  <c r="AG127" i="25"/>
  <c r="L115" i="25"/>
  <c r="S87" i="25"/>
  <c r="B151" i="23"/>
  <c r="D429" i="24"/>
  <c r="B150" i="23"/>
  <c r="N25" i="3"/>
  <c r="O25" i="3"/>
  <c r="K107" i="25"/>
  <c r="S107" i="25"/>
  <c r="R107" i="25"/>
  <c r="L107" i="25"/>
  <c r="Z107" i="25"/>
  <c r="Y107" i="25"/>
  <c r="AG17" i="8"/>
  <c r="Y18" i="8"/>
  <c r="R127" i="25"/>
  <c r="Z135" i="25"/>
  <c r="N23" i="3"/>
  <c r="O23" i="3"/>
  <c r="D359" i="24"/>
  <c r="B127" i="23"/>
  <c r="C371" i="67" s="1"/>
  <c r="E155" i="25"/>
  <c r="N155" i="25" s="1"/>
  <c r="P155" i="25" s="1"/>
  <c r="B126" i="23"/>
  <c r="C367" i="67" s="1"/>
  <c r="C364" i="67" s="1"/>
  <c r="C376" i="67" s="1"/>
  <c r="E34" i="3"/>
  <c r="E58" i="21" s="1"/>
  <c r="C6" i="1"/>
  <c r="E14" i="1" s="1"/>
  <c r="D42" i="3" s="1"/>
  <c r="D90" i="21" s="1"/>
  <c r="N21" i="3"/>
  <c r="O21" i="3"/>
  <c r="L117" i="25"/>
  <c r="L17" i="8"/>
  <c r="L18" i="8"/>
  <c r="R8" i="10"/>
  <c r="Y36" i="8"/>
  <c r="Z127" i="25"/>
  <c r="D144" i="25"/>
  <c r="C37" i="1"/>
  <c r="E33" i="3"/>
  <c r="E54" i="21" s="1"/>
  <c r="N22" i="3"/>
  <c r="O22" i="3"/>
  <c r="Q147" i="23"/>
  <c r="I147" i="23" s="1"/>
  <c r="B149" i="23"/>
  <c r="C433" i="67" s="1"/>
  <c r="C438" i="67" s="1"/>
  <c r="C151" i="23"/>
  <c r="D441" i="67" s="1"/>
  <c r="R147" i="23"/>
  <c r="J147" i="23" s="1"/>
  <c r="D425" i="24"/>
  <c r="E32" i="3"/>
  <c r="E50" i="21" s="1"/>
  <c r="C31" i="1"/>
  <c r="N29" i="3"/>
  <c r="O29" i="3"/>
  <c r="K117" i="25"/>
  <c r="Y39" i="8"/>
  <c r="Y17" i="8"/>
  <c r="L36" i="8"/>
  <c r="L99" i="25"/>
  <c r="AF127" i="25"/>
  <c r="S127" i="25"/>
  <c r="N26" i="3"/>
  <c r="O26" i="3"/>
  <c r="N31" i="3"/>
  <c r="O31" i="3"/>
  <c r="N28" i="3"/>
  <c r="O28" i="3"/>
  <c r="D33" i="3"/>
  <c r="D54" i="21" s="1"/>
  <c r="C34" i="1"/>
  <c r="E40" i="1" s="1"/>
  <c r="E38" i="3" s="1"/>
  <c r="E74" i="21" s="1"/>
  <c r="G156" i="32"/>
  <c r="E88" i="25"/>
  <c r="R71" i="23"/>
  <c r="J71" i="23" s="1"/>
  <c r="K105" i="25"/>
  <c r="N27" i="3"/>
  <c r="O27" i="3"/>
  <c r="Z7" i="8"/>
  <c r="AG7" i="8"/>
  <c r="S7" i="8"/>
  <c r="K7" i="8"/>
  <c r="Y7" i="8"/>
  <c r="L7" i="8"/>
  <c r="AF7" i="8"/>
  <c r="R7" i="8"/>
  <c r="L139" i="25"/>
  <c r="R139" i="25"/>
  <c r="AF17" i="8"/>
  <c r="AG36" i="8"/>
  <c r="Y127" i="25"/>
  <c r="C9" i="1"/>
  <c r="E15" i="1" s="1"/>
  <c r="E42" i="3" s="1"/>
  <c r="E90" i="21" s="1"/>
  <c r="D35" i="3"/>
  <c r="D62" i="21" s="1"/>
  <c r="N30" i="3"/>
  <c r="O30" i="3"/>
  <c r="L137" i="25"/>
  <c r="N24" i="3"/>
  <c r="O24" i="3"/>
  <c r="L97" i="25"/>
  <c r="S97" i="25"/>
  <c r="AG97" i="25"/>
  <c r="Y97" i="25"/>
  <c r="K97" i="25"/>
  <c r="Z97" i="25"/>
  <c r="R97" i="25"/>
  <c r="AF97" i="25"/>
  <c r="C300" i="24"/>
  <c r="A128" i="25"/>
  <c r="Z119" i="25"/>
  <c r="AG119" i="25"/>
  <c r="AF119" i="25"/>
  <c r="E35" i="3"/>
  <c r="E62" i="21" s="1"/>
  <c r="C12" i="1"/>
  <c r="L119" i="25"/>
  <c r="Z39" i="8"/>
  <c r="AF18" i="8"/>
  <c r="S39" i="8"/>
  <c r="R39" i="8"/>
  <c r="Z17" i="8"/>
  <c r="S36" i="8"/>
  <c r="R18" i="8"/>
  <c r="L9" i="8"/>
  <c r="AG9" i="8"/>
  <c r="K9" i="8"/>
  <c r="S9" i="8"/>
  <c r="Z9" i="8"/>
  <c r="R9" i="8"/>
  <c r="Y9" i="8"/>
  <c r="AF9" i="8"/>
  <c r="E156" i="25"/>
  <c r="D363" i="24"/>
  <c r="C3" i="1"/>
  <c r="D34" i="3"/>
  <c r="D58" i="21" s="1"/>
  <c r="O33" i="3"/>
  <c r="N33" i="3"/>
  <c r="Y117" i="25"/>
  <c r="Z117" i="25"/>
  <c r="C150" i="23"/>
  <c r="B152" i="23"/>
  <c r="C425" i="24"/>
  <c r="C430" i="24" s="1"/>
  <c r="K39" i="8"/>
  <c r="K18" i="8"/>
  <c r="K36" i="8"/>
  <c r="R11" i="10"/>
  <c r="AF87" i="25"/>
  <c r="K115" i="25"/>
  <c r="K95" i="25"/>
  <c r="AG125" i="25"/>
  <c r="AF95" i="25"/>
  <c r="AJ97" i="25"/>
  <c r="N32" i="3"/>
  <c r="O32" i="3"/>
  <c r="Q127" i="23"/>
  <c r="I127" i="23" s="1"/>
  <c r="R127" i="23"/>
  <c r="J127" i="23" s="1"/>
  <c r="D371" i="24"/>
  <c r="E158" i="25"/>
  <c r="AF25" i="8"/>
  <c r="Y99" i="25"/>
  <c r="AG99" i="25"/>
  <c r="R25" i="8"/>
  <c r="Z25" i="8"/>
  <c r="K99" i="25"/>
  <c r="E19" i="6"/>
  <c r="E24" i="8" s="1"/>
  <c r="S99" i="25"/>
  <c r="E23" i="6"/>
  <c r="AF99" i="25"/>
  <c r="E8" i="6"/>
  <c r="E82" i="20" s="1"/>
  <c r="R36" i="8"/>
  <c r="E5" i="6"/>
  <c r="E6" i="8" s="1"/>
  <c r="AF36" i="8"/>
  <c r="N5" i="10"/>
  <c r="O5" i="10"/>
  <c r="B6" i="19"/>
  <c r="C5" i="10"/>
  <c r="B5" i="10"/>
  <c r="A10" i="19" s="1"/>
  <c r="Q4" i="10"/>
  <c r="AG19" i="8"/>
  <c r="R28" i="8"/>
  <c r="Y28" i="8"/>
  <c r="N39" i="3"/>
  <c r="O39" i="3"/>
  <c r="Z15" i="8"/>
  <c r="L15" i="8"/>
  <c r="AF15" i="8"/>
  <c r="K15" i="8"/>
  <c r="S15" i="8"/>
  <c r="AG15" i="8"/>
  <c r="Y15" i="8"/>
  <c r="AJ155" i="25"/>
  <c r="N41" i="3"/>
  <c r="O41" i="3"/>
  <c r="B4" i="6"/>
  <c r="B14" i="20"/>
  <c r="N42" i="3"/>
  <c r="O42" i="3"/>
  <c r="B14" i="21"/>
  <c r="C24" i="3"/>
  <c r="Q23" i="3"/>
  <c r="R23" i="3" s="1"/>
  <c r="C38" i="1" s="1"/>
  <c r="N7" i="10"/>
  <c r="O7" i="10"/>
  <c r="A75" i="25"/>
  <c r="C64" i="23"/>
  <c r="D187" i="67" s="1"/>
  <c r="C61" i="23"/>
  <c r="D175" i="67" s="1"/>
  <c r="A89" i="25"/>
  <c r="R19" i="8"/>
  <c r="K19" i="8"/>
  <c r="F167" i="32"/>
  <c r="F154" i="25"/>
  <c r="B154" i="25"/>
  <c r="B173" i="32"/>
  <c r="G167" i="32"/>
  <c r="E167" i="32"/>
  <c r="AF28" i="8"/>
  <c r="N35" i="3"/>
  <c r="O35" i="3"/>
  <c r="N43" i="3"/>
  <c r="O43" i="3"/>
  <c r="N15" i="10"/>
  <c r="O15" i="10"/>
  <c r="K87" i="25"/>
  <c r="Y19" i="8"/>
  <c r="E31" i="6"/>
  <c r="E78" i="20" s="1"/>
  <c r="Z28" i="8"/>
  <c r="N36" i="3"/>
  <c r="O36" i="3"/>
  <c r="K25" i="8"/>
  <c r="L25" i="8"/>
  <c r="N13" i="10"/>
  <c r="O13" i="10"/>
  <c r="D114" i="25"/>
  <c r="AJ156" i="25"/>
  <c r="N18" i="10"/>
  <c r="O18" i="10"/>
  <c r="L87" i="25"/>
  <c r="N40" i="3"/>
  <c r="O40" i="3"/>
  <c r="AF19" i="8"/>
  <c r="E27" i="6"/>
  <c r="E14" i="20" s="1"/>
  <c r="D14" i="20"/>
  <c r="S28" i="8"/>
  <c r="K85" i="25"/>
  <c r="N37" i="3"/>
  <c r="O37" i="3"/>
  <c r="Y27" i="8"/>
  <c r="R27" i="8"/>
  <c r="L6" i="8"/>
  <c r="Y6" i="8"/>
  <c r="Z6" i="8"/>
  <c r="S6" i="8"/>
  <c r="AG6" i="8"/>
  <c r="K6" i="8"/>
  <c r="R6" i="8"/>
  <c r="AF6" i="8"/>
  <c r="N34" i="3"/>
  <c r="O34" i="3"/>
  <c r="N6" i="10"/>
  <c r="O6" i="10"/>
  <c r="S115" i="25"/>
  <c r="S119" i="25"/>
  <c r="S117" i="25"/>
  <c r="R115" i="25"/>
  <c r="R117" i="25"/>
  <c r="R119" i="25"/>
  <c r="Z87" i="25"/>
  <c r="Y87" i="25"/>
  <c r="K28" i="8"/>
  <c r="N14" i="10"/>
  <c r="R14" i="10" s="1"/>
  <c r="O14" i="10"/>
  <c r="D32" i="6"/>
  <c r="D94" i="20" s="1"/>
  <c r="Z19" i="8"/>
  <c r="E30" i="6"/>
  <c r="E37" i="8" s="1"/>
  <c r="S19" i="8"/>
  <c r="N38" i="3"/>
  <c r="O38" i="3"/>
  <c r="Y29" i="8"/>
  <c r="Z29" i="8"/>
  <c r="AG24" i="8"/>
  <c r="K24" i="8"/>
  <c r="AF77" i="25"/>
  <c r="L77" i="25"/>
  <c r="K77" i="25"/>
  <c r="AG77" i="25"/>
  <c r="N10" i="10"/>
  <c r="O10" i="10"/>
  <c r="R87" i="25"/>
  <c r="D31" i="6"/>
  <c r="E28" i="6"/>
  <c r="D30" i="6"/>
  <c r="E22" i="6"/>
  <c r="D19" i="6"/>
  <c r="D24" i="6"/>
  <c r="D20" i="6"/>
  <c r="E24" i="6"/>
  <c r="E21" i="6"/>
  <c r="E6" i="6"/>
  <c r="E50" i="20" s="1"/>
  <c r="E7" i="6"/>
  <c r="E3" i="6"/>
  <c r="D5" i="6"/>
  <c r="D13" i="6"/>
  <c r="D38" i="20" s="1"/>
  <c r="A36" i="8"/>
  <c r="D46" i="20"/>
  <c r="I7" i="34"/>
  <c r="D42" i="20"/>
  <c r="A26" i="8"/>
  <c r="D6" i="6"/>
  <c r="E4" i="6"/>
  <c r="D7" i="6"/>
  <c r="E20" i="6"/>
  <c r="D23" i="6"/>
  <c r="D22" i="6"/>
  <c r="A19" i="8"/>
  <c r="D86" i="20"/>
  <c r="G32" i="8"/>
  <c r="E29" i="6"/>
  <c r="E32" i="6"/>
  <c r="D28" i="6"/>
  <c r="E13" i="6"/>
  <c r="D12" i="6"/>
  <c r="E16" i="6"/>
  <c r="D14" i="6"/>
  <c r="E12" i="6"/>
  <c r="D15" i="6"/>
  <c r="A4" i="8"/>
  <c r="D2" i="20"/>
  <c r="A5" i="8"/>
  <c r="D18" i="20"/>
  <c r="B86" i="32" l="1"/>
  <c r="F80" i="32"/>
  <c r="E80" i="32"/>
  <c r="A55" i="25"/>
  <c r="U52" i="25" s="1"/>
  <c r="AJ56" i="25" s="1"/>
  <c r="E35" i="25"/>
  <c r="AB32" i="25" s="1"/>
  <c r="AJ37" i="25" s="1"/>
  <c r="A34" i="25"/>
  <c r="R47" i="23"/>
  <c r="J47" i="23" s="1"/>
  <c r="D58" i="25" s="1"/>
  <c r="D120" i="67"/>
  <c r="Q43" i="23"/>
  <c r="I43" i="23" s="1"/>
  <c r="B54" i="25" s="1"/>
  <c r="B45" i="23"/>
  <c r="R45" i="23" s="1"/>
  <c r="J45" i="23" s="1"/>
  <c r="Q47" i="23"/>
  <c r="I47" i="23" s="1"/>
  <c r="B58" i="25" s="1"/>
  <c r="D136" i="67"/>
  <c r="E54" i="25"/>
  <c r="N52" i="25" s="1"/>
  <c r="AJ55" i="25" s="1"/>
  <c r="C85" i="67"/>
  <c r="C82" i="67" s="1"/>
  <c r="C94" i="67" s="1"/>
  <c r="B31" i="23"/>
  <c r="C89" i="67" s="1"/>
  <c r="Q85" i="23"/>
  <c r="I85" i="23" s="1"/>
  <c r="F114" i="32" s="1"/>
  <c r="C48" i="23"/>
  <c r="D140" i="67" s="1"/>
  <c r="C45" i="23"/>
  <c r="D128" i="67" s="1"/>
  <c r="V85" i="25"/>
  <c r="D77" i="67"/>
  <c r="R43" i="23"/>
  <c r="J43" i="23" s="1"/>
  <c r="Y55" i="25"/>
  <c r="C30" i="23"/>
  <c r="D85" i="67" s="1"/>
  <c r="B32" i="23"/>
  <c r="C93" i="67" s="1"/>
  <c r="A48" i="25"/>
  <c r="AG55" i="25"/>
  <c r="Z55" i="25"/>
  <c r="AJ87" i="25"/>
  <c r="Q85" i="25"/>
  <c r="K69" i="25"/>
  <c r="AF45" i="25"/>
  <c r="E67" i="25"/>
  <c r="AC45" i="25"/>
  <c r="AG47" i="25"/>
  <c r="AG45" i="25"/>
  <c r="L69" i="25"/>
  <c r="AG37" i="25"/>
  <c r="AF47" i="25"/>
  <c r="Y25" i="25"/>
  <c r="Z25" i="25"/>
  <c r="K25" i="25"/>
  <c r="L25" i="25"/>
  <c r="S45" i="25"/>
  <c r="R45" i="25"/>
  <c r="U62" i="25"/>
  <c r="Z65" i="25" s="1"/>
  <c r="J85" i="25"/>
  <c r="A116" i="25"/>
  <c r="Q93" i="23"/>
  <c r="I93" i="23" s="1"/>
  <c r="E125" i="32" s="1"/>
  <c r="AE95" i="25"/>
  <c r="U95" i="25"/>
  <c r="W95" i="25" s="1"/>
  <c r="AB95" i="25"/>
  <c r="AD95" i="25" s="1"/>
  <c r="X95" i="25"/>
  <c r="D324" i="24"/>
  <c r="U85" i="25"/>
  <c r="W85" i="25" s="1"/>
  <c r="AE85" i="25"/>
  <c r="X85" i="25"/>
  <c r="N85" i="25"/>
  <c r="P85" i="25" s="1"/>
  <c r="AB85" i="25"/>
  <c r="AD85" i="25" s="1"/>
  <c r="AH85" i="25" s="1"/>
  <c r="O85" i="25"/>
  <c r="V105" i="25"/>
  <c r="G105" i="25"/>
  <c r="I105" i="25" s="1"/>
  <c r="U105" i="25"/>
  <c r="W105" i="25" s="1"/>
  <c r="X105" i="25"/>
  <c r="R111" i="23"/>
  <c r="J111" i="23" s="1"/>
  <c r="D138" i="25" s="1"/>
  <c r="C269" i="67"/>
  <c r="C274" i="67" s="1"/>
  <c r="C206" i="67"/>
  <c r="G85" i="25"/>
  <c r="I85" i="25" s="1"/>
  <c r="B140" i="32"/>
  <c r="D198" i="67"/>
  <c r="AJ25" i="25"/>
  <c r="S25" i="25"/>
  <c r="R25" i="25"/>
  <c r="D49" i="67"/>
  <c r="B21" i="23"/>
  <c r="R19" i="23"/>
  <c r="J19" i="23" s="1"/>
  <c r="D24" i="25" s="1"/>
  <c r="Q19" i="23"/>
  <c r="I19" i="23" s="1"/>
  <c r="D151" i="67"/>
  <c r="C108" i="67"/>
  <c r="C105" i="67" s="1"/>
  <c r="C117" i="67" s="1"/>
  <c r="H95" i="25"/>
  <c r="J95" i="25"/>
  <c r="B6" i="23"/>
  <c r="C14" i="67" s="1"/>
  <c r="C11" i="67" s="1"/>
  <c r="C23" i="67" s="1"/>
  <c r="C163" i="67"/>
  <c r="G95" i="25"/>
  <c r="I95" i="25" s="1"/>
  <c r="F169" i="32"/>
  <c r="A106" i="25"/>
  <c r="C61" i="67"/>
  <c r="C58" i="67" s="1"/>
  <c r="C70" i="67" s="1"/>
  <c r="C245" i="67"/>
  <c r="C250" i="67" s="1"/>
  <c r="A136" i="25"/>
  <c r="Q109" i="23"/>
  <c r="I109" i="23" s="1"/>
  <c r="B136" i="25" s="1"/>
  <c r="F104" i="25"/>
  <c r="S104" i="25" s="1"/>
  <c r="E78" i="25"/>
  <c r="Q111" i="23"/>
  <c r="I111" i="23" s="1"/>
  <c r="E138" i="25"/>
  <c r="B104" i="25"/>
  <c r="C277" i="67"/>
  <c r="Q105" i="25"/>
  <c r="R63" i="23"/>
  <c r="J63" i="23" s="1"/>
  <c r="N105" i="25"/>
  <c r="P105" i="25" s="1"/>
  <c r="H115" i="25"/>
  <c r="O105" i="25"/>
  <c r="H149" i="25"/>
  <c r="E5" i="25"/>
  <c r="AB2" i="25" s="1"/>
  <c r="AJ7" i="25" s="1"/>
  <c r="B7" i="23"/>
  <c r="A8" i="25" s="1"/>
  <c r="AC95" i="25"/>
  <c r="D269" i="67"/>
  <c r="B48" i="23"/>
  <c r="A59" i="25" s="1"/>
  <c r="V95" i="25"/>
  <c r="C23" i="23"/>
  <c r="R23" i="23" s="1"/>
  <c r="J23" i="23" s="1"/>
  <c r="D28" i="25" s="1"/>
  <c r="AJ84" i="25"/>
  <c r="H85" i="25"/>
  <c r="D222" i="67"/>
  <c r="Q79" i="23"/>
  <c r="I79" i="23" s="1"/>
  <c r="B98" i="25" s="1"/>
  <c r="A98" i="25"/>
  <c r="Q29" i="23"/>
  <c r="I29" i="23" s="1"/>
  <c r="B36" i="25" s="1"/>
  <c r="U55" i="25"/>
  <c r="W55" i="25" s="1"/>
  <c r="X55" i="25"/>
  <c r="V55" i="25"/>
  <c r="A139" i="25"/>
  <c r="D234" i="67"/>
  <c r="C328" i="24"/>
  <c r="R29" i="23"/>
  <c r="J29" i="23" s="1"/>
  <c r="D36" i="25" s="1"/>
  <c r="AE55" i="25"/>
  <c r="AB55" i="25"/>
  <c r="AD55" i="25" s="1"/>
  <c r="AC55" i="25"/>
  <c r="C81" i="67"/>
  <c r="C86" i="67" s="1"/>
  <c r="H105" i="25"/>
  <c r="G115" i="25"/>
  <c r="I115" i="25" s="1"/>
  <c r="V25" i="25"/>
  <c r="AJ104" i="25"/>
  <c r="J105" i="25"/>
  <c r="A96" i="25"/>
  <c r="Q77" i="23"/>
  <c r="I77" i="23" s="1"/>
  <c r="F103" i="32" s="1"/>
  <c r="X25" i="25"/>
  <c r="U25" i="25"/>
  <c r="W25" i="25" s="1"/>
  <c r="G134" i="32"/>
  <c r="C222" i="67"/>
  <c r="C227" i="67" s="1"/>
  <c r="Q63" i="23"/>
  <c r="I63" i="23" s="1"/>
  <c r="N95" i="25"/>
  <c r="P95" i="25" s="1"/>
  <c r="D230" i="67"/>
  <c r="E98" i="25"/>
  <c r="F134" i="25"/>
  <c r="J134" i="25" s="1"/>
  <c r="B43" i="32"/>
  <c r="Q31" i="23"/>
  <c r="I31" i="23" s="1"/>
  <c r="E38" i="25"/>
  <c r="F34" i="25"/>
  <c r="R34" i="25" s="1"/>
  <c r="E37" i="32"/>
  <c r="O149" i="25"/>
  <c r="Q149" i="25"/>
  <c r="F134" i="32"/>
  <c r="C173" i="32"/>
  <c r="D124" i="25"/>
  <c r="F156" i="25"/>
  <c r="V156" i="25" s="1"/>
  <c r="E134" i="32"/>
  <c r="E169" i="32"/>
  <c r="F74" i="25"/>
  <c r="L74" i="25" s="1"/>
  <c r="C202" i="67"/>
  <c r="C199" i="67" s="1"/>
  <c r="C211" i="67" s="1"/>
  <c r="G169" i="32"/>
  <c r="F124" i="25"/>
  <c r="Y124" i="25" s="1"/>
  <c r="R31" i="23"/>
  <c r="J31" i="23" s="1"/>
  <c r="D38" i="25" s="1"/>
  <c r="B151" i="32"/>
  <c r="F145" i="32"/>
  <c r="G80" i="32"/>
  <c r="B74" i="25"/>
  <c r="AE45" i="25"/>
  <c r="N25" i="25"/>
  <c r="P25" i="25" s="1"/>
  <c r="C65" i="67"/>
  <c r="G37" i="32"/>
  <c r="C316" i="24"/>
  <c r="C321" i="24" s="1"/>
  <c r="C304" i="24"/>
  <c r="C317" i="24" s="1"/>
  <c r="C329" i="24" s="1"/>
  <c r="R11" i="23"/>
  <c r="J11" i="23" s="1"/>
  <c r="D14" i="25" s="1"/>
  <c r="E145" i="32"/>
  <c r="C187" i="67"/>
  <c r="A129" i="25"/>
  <c r="G145" i="32"/>
  <c r="E128" i="25"/>
  <c r="Q103" i="23"/>
  <c r="I103" i="23" s="1"/>
  <c r="B128" i="25" s="1"/>
  <c r="AB45" i="25"/>
  <c r="AD45" i="25" s="1"/>
  <c r="U42" i="25"/>
  <c r="Z45" i="25" s="1"/>
  <c r="R103" i="23"/>
  <c r="J103" i="23" s="1"/>
  <c r="F44" i="25"/>
  <c r="A54" i="25"/>
  <c r="G52" i="25" s="1"/>
  <c r="AJ54" i="25" s="1"/>
  <c r="D300" i="24"/>
  <c r="R109" i="23"/>
  <c r="J109" i="23" s="1"/>
  <c r="C46" i="23"/>
  <c r="D132" i="67" s="1"/>
  <c r="Q115" i="25"/>
  <c r="J69" i="25"/>
  <c r="O115" i="25"/>
  <c r="H69" i="25"/>
  <c r="C6" i="23"/>
  <c r="E7" i="25" s="1"/>
  <c r="Q95" i="25"/>
  <c r="O95" i="25"/>
  <c r="N115" i="25"/>
  <c r="P115" i="25" s="1"/>
  <c r="G69" i="25"/>
  <c r="I69" i="25" s="1"/>
  <c r="B8" i="23"/>
  <c r="A9" i="25" s="1"/>
  <c r="J149" i="25"/>
  <c r="A44" i="25"/>
  <c r="G42" i="25" s="1"/>
  <c r="A4" i="25"/>
  <c r="G2" i="25" s="1"/>
  <c r="AJ4" i="25" s="1"/>
  <c r="B40" i="23"/>
  <c r="A49" i="25" s="1"/>
  <c r="AB94" i="25"/>
  <c r="O119" i="25"/>
  <c r="J115" i="25"/>
  <c r="C38" i="23"/>
  <c r="E47" i="25" s="1"/>
  <c r="S47" i="25" s="1"/>
  <c r="V84" i="25"/>
  <c r="A6" i="25"/>
  <c r="Q5" i="23"/>
  <c r="I5" i="23" s="1"/>
  <c r="B6" i="25" s="1"/>
  <c r="AJ24" i="25"/>
  <c r="H25" i="25"/>
  <c r="G25" i="25"/>
  <c r="I25" i="25" s="1"/>
  <c r="J25" i="25"/>
  <c r="H119" i="25"/>
  <c r="V149" i="25"/>
  <c r="E64" i="25"/>
  <c r="N62" i="25" s="1"/>
  <c r="N69" i="25" s="1"/>
  <c r="P69" i="25" s="1"/>
  <c r="G149" i="25"/>
  <c r="I149" i="25" s="1"/>
  <c r="B24" i="23"/>
  <c r="A29" i="25" s="1"/>
  <c r="E65" i="25"/>
  <c r="J65" i="25" s="1"/>
  <c r="AC119" i="25"/>
  <c r="C55" i="23"/>
  <c r="E68" i="25" s="1"/>
  <c r="Q143" i="23"/>
  <c r="I143" i="23" s="1"/>
  <c r="B55" i="23"/>
  <c r="A68" i="25" s="1"/>
  <c r="J119" i="25"/>
  <c r="U149" i="25"/>
  <c r="W149" i="25" s="1"/>
  <c r="B54" i="23"/>
  <c r="A67" i="25" s="1"/>
  <c r="AE119" i="25"/>
  <c r="N149" i="25"/>
  <c r="P149" i="25" s="1"/>
  <c r="AC149" i="25"/>
  <c r="E129" i="25"/>
  <c r="N119" i="25"/>
  <c r="P119" i="25" s="1"/>
  <c r="AB119" i="25"/>
  <c r="AD119" i="25" s="1"/>
  <c r="AB149" i="25"/>
  <c r="AD149" i="25" s="1"/>
  <c r="C32" i="23"/>
  <c r="D93" i="67" s="1"/>
  <c r="Q119" i="25"/>
  <c r="G119" i="25"/>
  <c r="I119" i="25" s="1"/>
  <c r="X149" i="25"/>
  <c r="AE149" i="25"/>
  <c r="D81" i="67"/>
  <c r="E36" i="25"/>
  <c r="G114" i="32"/>
  <c r="E77" i="25"/>
  <c r="Q77" i="25" s="1"/>
  <c r="D179" i="67"/>
  <c r="E117" i="25"/>
  <c r="N117" i="25" s="1"/>
  <c r="P117" i="25" s="1"/>
  <c r="D273" i="67"/>
  <c r="G123" i="32"/>
  <c r="F123" i="32"/>
  <c r="E123" i="32"/>
  <c r="O45" i="25"/>
  <c r="C13" i="23"/>
  <c r="D88" i="25"/>
  <c r="D96" i="32"/>
  <c r="U112" i="25"/>
  <c r="AB115" i="25"/>
  <c r="AD115" i="25" s="1"/>
  <c r="AC115" i="25"/>
  <c r="AE115" i="25"/>
  <c r="D202" i="67"/>
  <c r="E87" i="25"/>
  <c r="G47" i="32"/>
  <c r="F47" i="32"/>
  <c r="E47" i="32"/>
  <c r="B44" i="25"/>
  <c r="C26" i="67"/>
  <c r="C31" i="67" s="1"/>
  <c r="A14" i="25"/>
  <c r="G12" i="25" s="1"/>
  <c r="AJ14" i="25" s="1"/>
  <c r="C14" i="23"/>
  <c r="B16" i="23"/>
  <c r="D292" i="24"/>
  <c r="D292" i="67"/>
  <c r="D126" i="25"/>
  <c r="F136" i="32"/>
  <c r="E136" i="32"/>
  <c r="G136" i="32"/>
  <c r="D304" i="24"/>
  <c r="E127" i="25"/>
  <c r="D296" i="67"/>
  <c r="C324" i="24"/>
  <c r="C324" i="67"/>
  <c r="C140" i="32"/>
  <c r="D96" i="25"/>
  <c r="A17" i="25"/>
  <c r="C38" i="67"/>
  <c r="E29" i="25"/>
  <c r="D69" i="67"/>
  <c r="A97" i="25"/>
  <c r="C226" i="67"/>
  <c r="N45" i="25"/>
  <c r="P45" i="25" s="1"/>
  <c r="C437" i="24"/>
  <c r="C434" i="24" s="1"/>
  <c r="C446" i="24" s="1"/>
  <c r="C437" i="67"/>
  <c r="C434" i="67" s="1"/>
  <c r="C446" i="67" s="1"/>
  <c r="C394" i="24"/>
  <c r="C394" i="67"/>
  <c r="D86" i="25"/>
  <c r="G92" i="32"/>
  <c r="F92" i="32"/>
  <c r="E92" i="32"/>
  <c r="R133" i="23"/>
  <c r="J133" i="23" s="1"/>
  <c r="E179" i="32" s="1"/>
  <c r="D386" i="24"/>
  <c r="D386" i="67"/>
  <c r="C10" i="67"/>
  <c r="C15" i="67" s="1"/>
  <c r="R5" i="23"/>
  <c r="J5" i="23" s="1"/>
  <c r="B86" i="25"/>
  <c r="C96" i="32"/>
  <c r="B129" i="32"/>
  <c r="E26" i="25"/>
  <c r="D57" i="67"/>
  <c r="E46" i="25"/>
  <c r="D104" i="67"/>
  <c r="E49" i="25"/>
  <c r="D116" i="67"/>
  <c r="A99" i="25"/>
  <c r="C234" i="67"/>
  <c r="Q45" i="25"/>
  <c r="R135" i="23"/>
  <c r="J135" i="23" s="1"/>
  <c r="D394" i="67"/>
  <c r="E157" i="25"/>
  <c r="D367" i="67"/>
  <c r="F37" i="32"/>
  <c r="E109" i="25"/>
  <c r="AB109" i="25" s="1"/>
  <c r="AD109" i="25" s="1"/>
  <c r="D257" i="67"/>
  <c r="E89" i="25"/>
  <c r="AC89" i="25" s="1"/>
  <c r="D210" i="67"/>
  <c r="D277" i="67"/>
  <c r="Q95" i="23"/>
  <c r="I95" i="23" s="1"/>
  <c r="E118" i="25"/>
  <c r="R95" i="23"/>
  <c r="J95" i="23" s="1"/>
  <c r="C7" i="23"/>
  <c r="Q3" i="23"/>
  <c r="I3" i="23" s="1"/>
  <c r="D2" i="67"/>
  <c r="R3" i="23"/>
  <c r="J3" i="23" s="1"/>
  <c r="E4" i="25"/>
  <c r="N2" i="25" s="1"/>
  <c r="AJ5" i="25" s="1"/>
  <c r="A78" i="25"/>
  <c r="C183" i="67"/>
  <c r="F112" i="32"/>
  <c r="G112" i="32"/>
  <c r="E112" i="32"/>
  <c r="C390" i="24"/>
  <c r="C387" i="24" s="1"/>
  <c r="C399" i="24" s="1"/>
  <c r="C390" i="67"/>
  <c r="C387" i="67" s="1"/>
  <c r="C399" i="67" s="1"/>
  <c r="C386" i="24"/>
  <c r="C391" i="24" s="1"/>
  <c r="C386" i="67"/>
  <c r="C391" i="67" s="1"/>
  <c r="F114" i="25"/>
  <c r="N114" i="25" s="1"/>
  <c r="C445" i="24"/>
  <c r="C445" i="67"/>
  <c r="R53" i="23"/>
  <c r="J53" i="23" s="1"/>
  <c r="C151" i="67"/>
  <c r="C156" i="67" s="1"/>
  <c r="C441" i="24"/>
  <c r="C441" i="67"/>
  <c r="D445" i="24"/>
  <c r="D445" i="67"/>
  <c r="C320" i="24"/>
  <c r="C320" i="67"/>
  <c r="R141" i="23"/>
  <c r="J141" i="23" s="1"/>
  <c r="C410" i="67"/>
  <c r="C415" i="67" s="1"/>
  <c r="E139" i="25"/>
  <c r="D328" i="67"/>
  <c r="A58" i="25"/>
  <c r="C136" i="67"/>
  <c r="C15" i="23"/>
  <c r="D26" i="67"/>
  <c r="Q11" i="23"/>
  <c r="I11" i="23" s="1"/>
  <c r="B13" i="23"/>
  <c r="C296" i="67"/>
  <c r="C293" i="67" s="1"/>
  <c r="C305" i="67" s="1"/>
  <c r="A127" i="25"/>
  <c r="C296" i="24"/>
  <c r="C293" i="24" s="1"/>
  <c r="C305" i="24" s="1"/>
  <c r="Q87" i="23"/>
  <c r="I87" i="23" s="1"/>
  <c r="D253" i="67"/>
  <c r="E108" i="25"/>
  <c r="R87" i="23"/>
  <c r="J87" i="23" s="1"/>
  <c r="F96" i="32"/>
  <c r="C104" i="67"/>
  <c r="C109" i="67" s="1"/>
  <c r="R37" i="23"/>
  <c r="J37" i="23" s="1"/>
  <c r="D46" i="25" s="1"/>
  <c r="B114" i="25"/>
  <c r="D437" i="24"/>
  <c r="D437" i="67"/>
  <c r="C16" i="23"/>
  <c r="A46" i="25"/>
  <c r="D98" i="25"/>
  <c r="D316" i="24"/>
  <c r="D316" i="67"/>
  <c r="C418" i="24"/>
  <c r="C418" i="67"/>
  <c r="R51" i="23"/>
  <c r="J51" i="23" s="1"/>
  <c r="Q51" i="23"/>
  <c r="I51" i="23" s="1"/>
  <c r="D143" i="67"/>
  <c r="B15" i="23"/>
  <c r="D30" i="67"/>
  <c r="C35" i="67" s="1"/>
  <c r="C47" i="67" s="1"/>
  <c r="E15" i="25"/>
  <c r="AB12" i="25" s="1"/>
  <c r="AJ17" i="25" s="1"/>
  <c r="A76" i="25"/>
  <c r="R61" i="23"/>
  <c r="J61" i="23" s="1"/>
  <c r="C175" i="67"/>
  <c r="C180" i="67" s="1"/>
  <c r="Q61" i="23"/>
  <c r="I61" i="23" s="1"/>
  <c r="G86" i="32" s="1"/>
  <c r="E107" i="25"/>
  <c r="AB107" i="25" s="1"/>
  <c r="AD107" i="25" s="1"/>
  <c r="D249" i="67"/>
  <c r="A35" i="25"/>
  <c r="C77" i="67"/>
  <c r="C74" i="67" s="1"/>
  <c r="C90" i="67" s="1"/>
  <c r="A108" i="25"/>
  <c r="C253" i="67"/>
  <c r="C414" i="24"/>
  <c r="C414" i="67"/>
  <c r="C8" i="23"/>
  <c r="C6" i="67"/>
  <c r="C3" i="67" s="1"/>
  <c r="C19" i="67" s="1"/>
  <c r="C5" i="23"/>
  <c r="A5" i="25"/>
  <c r="G96" i="32"/>
  <c r="C118" i="32"/>
  <c r="A15" i="25"/>
  <c r="U12" i="25" s="1"/>
  <c r="E94" i="32"/>
  <c r="G94" i="32"/>
  <c r="F94" i="32"/>
  <c r="Q37" i="23"/>
  <c r="I37" i="23" s="1"/>
  <c r="B46" i="25" s="1"/>
  <c r="O25" i="25"/>
  <c r="Q25" i="25"/>
  <c r="D398" i="24"/>
  <c r="D398" i="67"/>
  <c r="D162" i="32"/>
  <c r="B94" i="25"/>
  <c r="R94" i="25" s="1"/>
  <c r="E101" i="32"/>
  <c r="G101" i="32"/>
  <c r="F101" i="32"/>
  <c r="D433" i="24"/>
  <c r="D433" i="67"/>
  <c r="A57" i="25"/>
  <c r="C132" i="67"/>
  <c r="B53" i="32"/>
  <c r="B107" i="32"/>
  <c r="R143" i="23"/>
  <c r="J143" i="23" s="1"/>
  <c r="D418" i="67"/>
  <c r="C22" i="23"/>
  <c r="C49" i="67"/>
  <c r="C54" i="67" s="1"/>
  <c r="B48" i="25"/>
  <c r="D53" i="32"/>
  <c r="F51" i="32"/>
  <c r="E51" i="32"/>
  <c r="G51" i="32"/>
  <c r="N125" i="25"/>
  <c r="P125" i="25" s="1"/>
  <c r="AC125" i="25"/>
  <c r="V125" i="25"/>
  <c r="Q125" i="25"/>
  <c r="O125" i="25"/>
  <c r="X125" i="25"/>
  <c r="U125" i="25"/>
  <c r="W125" i="25" s="1"/>
  <c r="AE125" i="25"/>
  <c r="F48" i="25"/>
  <c r="AB125" i="25"/>
  <c r="AD125" i="25" s="1"/>
  <c r="AG30" i="8"/>
  <c r="AP27" i="8" s="1"/>
  <c r="L30" i="8"/>
  <c r="AP24" i="8" s="1"/>
  <c r="B148" i="25"/>
  <c r="E160" i="32"/>
  <c r="G160" i="32"/>
  <c r="F148" i="25"/>
  <c r="Y148" i="25" s="1"/>
  <c r="F160" i="32"/>
  <c r="Z40" i="8"/>
  <c r="AP36" i="8" s="1"/>
  <c r="D367" i="24"/>
  <c r="N94" i="25"/>
  <c r="AE135" i="25"/>
  <c r="Q84" i="25"/>
  <c r="Q135" i="23"/>
  <c r="I135" i="23" s="1"/>
  <c r="K84" i="25"/>
  <c r="D394" i="24"/>
  <c r="AE84" i="25"/>
  <c r="O84" i="25"/>
  <c r="AC84" i="25"/>
  <c r="Q141" i="23"/>
  <c r="I141" i="23" s="1"/>
  <c r="D328" i="24"/>
  <c r="E188" i="32"/>
  <c r="E177" i="32"/>
  <c r="AF105" i="25"/>
  <c r="E136" i="25"/>
  <c r="L144" i="25"/>
  <c r="G177" i="32"/>
  <c r="C375" i="24"/>
  <c r="A159" i="25"/>
  <c r="AB105" i="25"/>
  <c r="AD105" i="25" s="1"/>
  <c r="AG107" i="25"/>
  <c r="AG105" i="25"/>
  <c r="C410" i="24"/>
  <c r="C415" i="24" s="1"/>
  <c r="AJ107" i="25"/>
  <c r="AF109" i="25"/>
  <c r="AE105" i="25"/>
  <c r="AC105" i="25"/>
  <c r="AF107" i="25"/>
  <c r="A137" i="25"/>
  <c r="F126" i="25"/>
  <c r="G126" i="25" s="1"/>
  <c r="B126" i="25"/>
  <c r="A138" i="25"/>
  <c r="G162" i="32"/>
  <c r="E14" i="8"/>
  <c r="N12" i="8" s="1"/>
  <c r="AJ15" i="8" s="1"/>
  <c r="E17" i="8"/>
  <c r="Q147" i="25"/>
  <c r="G188" i="32"/>
  <c r="B194" i="32"/>
  <c r="F188" i="32"/>
  <c r="B183" i="32"/>
  <c r="G144" i="25"/>
  <c r="I144" i="25" s="1"/>
  <c r="H84" i="25"/>
  <c r="AF84" i="25"/>
  <c r="J84" i="25"/>
  <c r="N84" i="25"/>
  <c r="P84" i="25" s="1"/>
  <c r="G84" i="25"/>
  <c r="I84" i="25" s="1"/>
  <c r="T145" i="25"/>
  <c r="Y84" i="25"/>
  <c r="S84" i="25"/>
  <c r="X84" i="25"/>
  <c r="AA145" i="25"/>
  <c r="L84" i="25"/>
  <c r="AB84" i="25"/>
  <c r="AD84" i="25" s="1"/>
  <c r="U84" i="25"/>
  <c r="W84" i="25" s="1"/>
  <c r="O144" i="25"/>
  <c r="R84" i="25"/>
  <c r="Z84" i="25"/>
  <c r="F177" i="32"/>
  <c r="AG84" i="25"/>
  <c r="U147" i="25"/>
  <c r="W147" i="25" s="1"/>
  <c r="F162" i="32"/>
  <c r="M145" i="25"/>
  <c r="AE147" i="25"/>
  <c r="G158" i="32"/>
  <c r="O147" i="25"/>
  <c r="N147" i="25"/>
  <c r="P147" i="25" s="1"/>
  <c r="A14" i="8"/>
  <c r="X147" i="25"/>
  <c r="C162" i="32"/>
  <c r="F86" i="25"/>
  <c r="G125" i="25"/>
  <c r="I125" i="25" s="1"/>
  <c r="H125" i="25"/>
  <c r="J125" i="25"/>
  <c r="R144" i="25"/>
  <c r="Z144" i="25"/>
  <c r="AB144" i="25"/>
  <c r="AD144" i="25" s="1"/>
  <c r="AC135" i="25"/>
  <c r="K144" i="25"/>
  <c r="Z94" i="25"/>
  <c r="X135" i="25"/>
  <c r="N135" i="25"/>
  <c r="P135" i="25" s="1"/>
  <c r="AC147" i="25"/>
  <c r="H135" i="25"/>
  <c r="O135" i="25"/>
  <c r="Q135" i="25"/>
  <c r="H144" i="25"/>
  <c r="Y144" i="25"/>
  <c r="AC144" i="25"/>
  <c r="V135" i="25"/>
  <c r="N144" i="25"/>
  <c r="P144" i="25" s="1"/>
  <c r="U135" i="25"/>
  <c r="W135" i="25" s="1"/>
  <c r="AG10" i="8"/>
  <c r="AP7" i="8" s="1"/>
  <c r="L40" i="8"/>
  <c r="AP34" i="8" s="1"/>
  <c r="H147" i="25"/>
  <c r="B146" i="25"/>
  <c r="AB147" i="25"/>
  <c r="AD147" i="25" s="1"/>
  <c r="G147" i="25"/>
  <c r="I147" i="25" s="1"/>
  <c r="D296" i="24"/>
  <c r="AJ137" i="25"/>
  <c r="AB135" i="25"/>
  <c r="AD135" i="25" s="1"/>
  <c r="R77" i="25"/>
  <c r="J147" i="25"/>
  <c r="V147" i="25"/>
  <c r="F158" i="32"/>
  <c r="E9" i="8"/>
  <c r="S144" i="25"/>
  <c r="AF144" i="25"/>
  <c r="U144" i="25"/>
  <c r="W144" i="25" s="1"/>
  <c r="AE144" i="25"/>
  <c r="Q144" i="25"/>
  <c r="AF40" i="8"/>
  <c r="AO37" i="8" s="1"/>
  <c r="E38" i="8"/>
  <c r="V144" i="25"/>
  <c r="J144" i="25"/>
  <c r="Z30" i="8"/>
  <c r="AP26" i="8" s="1"/>
  <c r="X144" i="25"/>
  <c r="S20" i="8"/>
  <c r="AP15" i="8" s="1"/>
  <c r="S30" i="8"/>
  <c r="AP25" i="8" s="1"/>
  <c r="D82" i="20"/>
  <c r="E158" i="32"/>
  <c r="K10" i="8"/>
  <c r="AO4" i="8" s="1"/>
  <c r="R20" i="8"/>
  <c r="AO15" i="8" s="1"/>
  <c r="F146" i="25"/>
  <c r="R10" i="8"/>
  <c r="AO5" i="8" s="1"/>
  <c r="D216" i="32"/>
  <c r="K40" i="8"/>
  <c r="AO34" i="8" s="1"/>
  <c r="S40" i="8"/>
  <c r="AP35" i="8" s="1"/>
  <c r="AJ27" i="25"/>
  <c r="AG25" i="25"/>
  <c r="AB25" i="25"/>
  <c r="AD25" i="25" s="1"/>
  <c r="AF25" i="25"/>
  <c r="AE25" i="25"/>
  <c r="AC25" i="25"/>
  <c r="AF27" i="25"/>
  <c r="AG27" i="25"/>
  <c r="AF20" i="8"/>
  <c r="AO17" i="8" s="1"/>
  <c r="F214" i="32"/>
  <c r="E214" i="32"/>
  <c r="G214" i="32"/>
  <c r="S10" i="8"/>
  <c r="AP5" i="8" s="1"/>
  <c r="F216" i="32"/>
  <c r="C216" i="32"/>
  <c r="G216" i="32"/>
  <c r="Q155" i="25"/>
  <c r="F212" i="32"/>
  <c r="G212" i="32"/>
  <c r="E212" i="32"/>
  <c r="AG40" i="8"/>
  <c r="AP37" i="8" s="1"/>
  <c r="D320" i="24"/>
  <c r="E137" i="25"/>
  <c r="AF30" i="8"/>
  <c r="AO27" i="8" s="1"/>
  <c r="AJ134" i="25"/>
  <c r="J135" i="25"/>
  <c r="G135" i="25"/>
  <c r="I135" i="25" s="1"/>
  <c r="Y40" i="8"/>
  <c r="AO36" i="8" s="1"/>
  <c r="AG94" i="25"/>
  <c r="E34" i="8"/>
  <c r="N32" i="8" s="1"/>
  <c r="O34" i="8" s="1"/>
  <c r="U94" i="25"/>
  <c r="K20" i="8"/>
  <c r="AO14" i="8" s="1"/>
  <c r="A39" i="8"/>
  <c r="R30" i="8"/>
  <c r="AO25" i="8" s="1"/>
  <c r="Y20" i="8"/>
  <c r="AO16" i="8" s="1"/>
  <c r="L20" i="8"/>
  <c r="AP14" i="8" s="1"/>
  <c r="D158" i="25"/>
  <c r="D173" i="32"/>
  <c r="AB152" i="25"/>
  <c r="AC154" i="25" s="1"/>
  <c r="J155" i="25"/>
  <c r="H155" i="25"/>
  <c r="G155" i="25"/>
  <c r="I155" i="25" s="1"/>
  <c r="U155" i="25"/>
  <c r="W155" i="25" s="1"/>
  <c r="B88" i="25"/>
  <c r="F88" i="25"/>
  <c r="R18" i="10"/>
  <c r="O155" i="25"/>
  <c r="T155" i="25" s="1"/>
  <c r="E171" i="32"/>
  <c r="B158" i="25"/>
  <c r="F158" i="25"/>
  <c r="G171" i="32"/>
  <c r="F171" i="32"/>
  <c r="C371" i="24"/>
  <c r="A158" i="25"/>
  <c r="L94" i="25"/>
  <c r="G94" i="25"/>
  <c r="S94" i="25"/>
  <c r="Z10" i="8"/>
  <c r="AP6" i="8" s="1"/>
  <c r="B205" i="32"/>
  <c r="E34" i="20"/>
  <c r="R6" i="10"/>
  <c r="Y10" i="8"/>
  <c r="AO6" i="8" s="1"/>
  <c r="F173" i="32"/>
  <c r="R40" i="8"/>
  <c r="AO35" i="8" s="1"/>
  <c r="Q151" i="23"/>
  <c r="I151" i="23" s="1"/>
  <c r="D441" i="24"/>
  <c r="R151" i="23"/>
  <c r="J151" i="23" s="1"/>
  <c r="V155" i="25"/>
  <c r="L10" i="8"/>
  <c r="AP4" i="8" s="1"/>
  <c r="X155" i="25"/>
  <c r="Q149" i="23"/>
  <c r="I149" i="23" s="1"/>
  <c r="R149" i="23"/>
  <c r="J149" i="23" s="1"/>
  <c r="C433" i="24"/>
  <c r="C438" i="24" s="1"/>
  <c r="A16" i="8"/>
  <c r="AF10" i="8"/>
  <c r="AO7" i="8" s="1"/>
  <c r="R7" i="10"/>
  <c r="Q53" i="23"/>
  <c r="I53" i="23" s="1"/>
  <c r="A66" i="25"/>
  <c r="F199" i="32"/>
  <c r="E199" i="32"/>
  <c r="G199" i="32"/>
  <c r="G173" i="32"/>
  <c r="A157" i="25"/>
  <c r="C367" i="24"/>
  <c r="C364" i="24" s="1"/>
  <c r="C376" i="24" s="1"/>
  <c r="E10" i="20"/>
  <c r="Z20" i="8"/>
  <c r="AP16" i="8" s="1"/>
  <c r="E62" i="20"/>
  <c r="K30" i="8"/>
  <c r="AO24" i="8" s="1"/>
  <c r="Y30" i="8"/>
  <c r="AO26" i="8" s="1"/>
  <c r="AG20" i="8"/>
  <c r="AP17" i="8" s="1"/>
  <c r="E74" i="20"/>
  <c r="E28" i="8"/>
  <c r="A39" i="25"/>
  <c r="R5" i="10"/>
  <c r="R15" i="10"/>
  <c r="G32" i="25"/>
  <c r="D116" i="25"/>
  <c r="E76" i="25"/>
  <c r="Q24" i="3"/>
  <c r="R24" i="3" s="1"/>
  <c r="C4" i="1" s="1"/>
  <c r="C25" i="3"/>
  <c r="B18" i="21"/>
  <c r="E7" i="8"/>
  <c r="R10" i="10"/>
  <c r="F106" i="25"/>
  <c r="B106" i="25"/>
  <c r="Q154" i="25"/>
  <c r="AF154" i="25"/>
  <c r="S154" i="25"/>
  <c r="N154" i="25"/>
  <c r="R154" i="25"/>
  <c r="U154" i="25"/>
  <c r="L154" i="25"/>
  <c r="J154" i="25"/>
  <c r="Y154" i="25"/>
  <c r="V154" i="25"/>
  <c r="Z154" i="25"/>
  <c r="H154" i="25"/>
  <c r="AG154" i="25"/>
  <c r="K154" i="25"/>
  <c r="O154" i="25"/>
  <c r="X154" i="25"/>
  <c r="G154" i="25"/>
  <c r="L89" i="25"/>
  <c r="K89" i="25"/>
  <c r="AG89" i="25"/>
  <c r="Z89" i="25"/>
  <c r="S89" i="25"/>
  <c r="Y89" i="25"/>
  <c r="AF89" i="25"/>
  <c r="R89" i="25"/>
  <c r="E79" i="25"/>
  <c r="N79" i="25" s="1"/>
  <c r="P79" i="25" s="1"/>
  <c r="B18" i="20"/>
  <c r="B12" i="6"/>
  <c r="AJ75" i="25"/>
  <c r="C6" i="10"/>
  <c r="Q5" i="10"/>
  <c r="B6" i="10"/>
  <c r="A14" i="19" s="1"/>
  <c r="B10" i="19"/>
  <c r="U72" i="25"/>
  <c r="V75" i="25" s="1"/>
  <c r="R75" i="25"/>
  <c r="L75" i="25"/>
  <c r="S75" i="25"/>
  <c r="Q75" i="25"/>
  <c r="J75" i="25"/>
  <c r="K75" i="25"/>
  <c r="N75" i="25"/>
  <c r="P75" i="25" s="1"/>
  <c r="AE75" i="25"/>
  <c r="AG75" i="25"/>
  <c r="AC75" i="25"/>
  <c r="G75" i="25"/>
  <c r="I75" i="25" s="1"/>
  <c r="H75" i="25"/>
  <c r="AF75" i="25"/>
  <c r="O75" i="25"/>
  <c r="AB75" i="25"/>
  <c r="AD75" i="25" s="1"/>
  <c r="D106" i="25"/>
  <c r="R13" i="10"/>
  <c r="E37" i="25"/>
  <c r="E66" i="20"/>
  <c r="E8" i="8"/>
  <c r="D10" i="20"/>
  <c r="A24" i="8"/>
  <c r="G22" i="8" s="1"/>
  <c r="D62" i="20"/>
  <c r="A37" i="8"/>
  <c r="G37" i="8" s="1"/>
  <c r="I37" i="8" s="1"/>
  <c r="AH145" i="25"/>
  <c r="E29" i="8"/>
  <c r="E90" i="20"/>
  <c r="E58" i="20"/>
  <c r="E27" i="8"/>
  <c r="E30" i="20"/>
  <c r="E35" i="8"/>
  <c r="AB32" i="8" s="1"/>
  <c r="D34" i="20"/>
  <c r="A6" i="8"/>
  <c r="A25" i="8"/>
  <c r="U22" i="8" s="1"/>
  <c r="D26" i="20"/>
  <c r="A38" i="8"/>
  <c r="D78" i="20"/>
  <c r="E42" i="20"/>
  <c r="E26" i="8"/>
  <c r="E2" i="20"/>
  <c r="E4" i="8"/>
  <c r="N2" i="8" s="1"/>
  <c r="AJ5" i="8" s="1"/>
  <c r="A29" i="8"/>
  <c r="D90" i="20"/>
  <c r="L10" i="34"/>
  <c r="O16" i="34"/>
  <c r="N22" i="8"/>
  <c r="D70" i="20"/>
  <c r="A18" i="8"/>
  <c r="D22" i="20"/>
  <c r="A15" i="8"/>
  <c r="D30" i="20"/>
  <c r="A35" i="8"/>
  <c r="A8" i="8"/>
  <c r="D66" i="20"/>
  <c r="E25" i="8"/>
  <c r="E26" i="20"/>
  <c r="AJ34" i="8"/>
  <c r="D58" i="20"/>
  <c r="A27" i="8"/>
  <c r="E18" i="20"/>
  <c r="E5" i="8"/>
  <c r="AB2" i="8" s="1"/>
  <c r="AB5" i="8" s="1"/>
  <c r="AD5" i="8" s="1"/>
  <c r="E15" i="8"/>
  <c r="AB12" i="8" s="1"/>
  <c r="AJ17" i="8" s="1"/>
  <c r="E22" i="20"/>
  <c r="E38" i="20"/>
  <c r="E16" i="8"/>
  <c r="E94" i="20"/>
  <c r="E39" i="8"/>
  <c r="D54" i="20"/>
  <c r="A17" i="8"/>
  <c r="E46" i="20"/>
  <c r="E36" i="8"/>
  <c r="G36" i="8" s="1"/>
  <c r="I36" i="8" s="1"/>
  <c r="U2" i="8"/>
  <c r="G2" i="8"/>
  <c r="E86" i="20"/>
  <c r="E19" i="8"/>
  <c r="A28" i="8"/>
  <c r="D74" i="20"/>
  <c r="A7" i="8"/>
  <c r="D50" i="20"/>
  <c r="B78" i="25" l="1"/>
  <c r="E84" i="32"/>
  <c r="D78" i="25"/>
  <c r="D86" i="32"/>
  <c r="E82" i="32"/>
  <c r="C86" i="32"/>
  <c r="F86" i="32"/>
  <c r="AF55" i="25"/>
  <c r="AF37" i="25"/>
  <c r="F62" i="32"/>
  <c r="G62" i="32"/>
  <c r="F58" i="25"/>
  <c r="H58" i="25" s="1"/>
  <c r="D64" i="32"/>
  <c r="S55" i="25"/>
  <c r="A56" i="25"/>
  <c r="Q45" i="23"/>
  <c r="I45" i="23" s="1"/>
  <c r="C64" i="32" s="1"/>
  <c r="C128" i="67"/>
  <c r="C133" i="67" s="1"/>
  <c r="R55" i="25"/>
  <c r="N55" i="25"/>
  <c r="P55" i="25" s="1"/>
  <c r="Q55" i="25"/>
  <c r="E62" i="32"/>
  <c r="E58" i="32"/>
  <c r="E114" i="32"/>
  <c r="AH45" i="25"/>
  <c r="AA85" i="25"/>
  <c r="O55" i="25"/>
  <c r="A38" i="25"/>
  <c r="E56" i="25"/>
  <c r="E59" i="25"/>
  <c r="R59" i="25" s="1"/>
  <c r="L65" i="25"/>
  <c r="K65" i="25"/>
  <c r="G58" i="32"/>
  <c r="F54" i="25"/>
  <c r="K54" i="25" s="1"/>
  <c r="A7" i="25"/>
  <c r="S7" i="25" s="1"/>
  <c r="AG48" i="25"/>
  <c r="Z67" i="25"/>
  <c r="B64" i="32"/>
  <c r="F58" i="32"/>
  <c r="D54" i="25"/>
  <c r="F125" i="32"/>
  <c r="K9" i="25"/>
  <c r="C140" i="67"/>
  <c r="G65" i="25"/>
  <c r="I65" i="25" s="1"/>
  <c r="Y47" i="25"/>
  <c r="N89" i="25"/>
  <c r="P89" i="25" s="1"/>
  <c r="Z47" i="25"/>
  <c r="Y45" i="25"/>
  <c r="G125" i="32"/>
  <c r="L59" i="25"/>
  <c r="C129" i="32"/>
  <c r="L55" i="25"/>
  <c r="S65" i="25"/>
  <c r="R69" i="25"/>
  <c r="K59" i="25"/>
  <c r="B116" i="25"/>
  <c r="AF15" i="25"/>
  <c r="R65" i="25"/>
  <c r="S69" i="25"/>
  <c r="F116" i="25"/>
  <c r="U116" i="25" s="1"/>
  <c r="K55" i="25"/>
  <c r="AF29" i="25"/>
  <c r="R49" i="25"/>
  <c r="E69" i="32"/>
  <c r="L67" i="25"/>
  <c r="Z49" i="25"/>
  <c r="R67" i="25"/>
  <c r="AG5" i="25"/>
  <c r="Y67" i="25"/>
  <c r="AG49" i="25"/>
  <c r="S67" i="25"/>
  <c r="Z29" i="25"/>
  <c r="K67" i="25"/>
  <c r="AG29" i="25"/>
  <c r="U2" i="25"/>
  <c r="Y5" i="25" s="1"/>
  <c r="S15" i="25"/>
  <c r="L15" i="25"/>
  <c r="D14" i="67"/>
  <c r="K5" i="25"/>
  <c r="R15" i="25"/>
  <c r="AF5" i="25"/>
  <c r="AF17" i="25"/>
  <c r="R5" i="25"/>
  <c r="K15" i="25"/>
  <c r="L5" i="25"/>
  <c r="AG15" i="25"/>
  <c r="S5" i="25"/>
  <c r="L9" i="25"/>
  <c r="L29" i="25"/>
  <c r="K29" i="25"/>
  <c r="R29" i="25"/>
  <c r="S29" i="25"/>
  <c r="AF35" i="25"/>
  <c r="AG35" i="25"/>
  <c r="S35" i="25"/>
  <c r="R35" i="25"/>
  <c r="B24" i="25"/>
  <c r="F26" i="32"/>
  <c r="Y49" i="25"/>
  <c r="AF49" i="25"/>
  <c r="S49" i="25"/>
  <c r="AF57" i="25"/>
  <c r="AG57" i="25"/>
  <c r="X69" i="25"/>
  <c r="V69" i="25"/>
  <c r="U69" i="25"/>
  <c r="W69" i="25" s="1"/>
  <c r="Y65" i="25"/>
  <c r="D64" i="25"/>
  <c r="B75" i="32"/>
  <c r="AJ66" i="25"/>
  <c r="Z69" i="25"/>
  <c r="Y69" i="25"/>
  <c r="Q89" i="25"/>
  <c r="AB89" i="25"/>
  <c r="AD89" i="25" s="1"/>
  <c r="AH89" i="25" s="1"/>
  <c r="U89" i="25"/>
  <c r="W89" i="25" s="1"/>
  <c r="H89" i="25"/>
  <c r="G149" i="32"/>
  <c r="AA95" i="25"/>
  <c r="AH95" i="25"/>
  <c r="T85" i="25"/>
  <c r="F138" i="25"/>
  <c r="AF138" i="25" s="1"/>
  <c r="AA105" i="25"/>
  <c r="AE109" i="25"/>
  <c r="M105" i="25"/>
  <c r="B138" i="25"/>
  <c r="AB104" i="25"/>
  <c r="AD104" i="25" s="1"/>
  <c r="N104" i="25"/>
  <c r="P104" i="25" s="1"/>
  <c r="L104" i="25"/>
  <c r="M95" i="25"/>
  <c r="C107" i="32"/>
  <c r="E103" i="32"/>
  <c r="O74" i="25"/>
  <c r="B96" i="25"/>
  <c r="G103" i="32"/>
  <c r="AF74" i="25"/>
  <c r="F96" i="25"/>
  <c r="O134" i="25"/>
  <c r="N134" i="25"/>
  <c r="P134" i="25" s="1"/>
  <c r="M85" i="25"/>
  <c r="U134" i="25"/>
  <c r="W134" i="25" s="1"/>
  <c r="AC134" i="25"/>
  <c r="F107" i="32"/>
  <c r="X134" i="25"/>
  <c r="S134" i="25"/>
  <c r="H134" i="25"/>
  <c r="Y134" i="25"/>
  <c r="G134" i="25"/>
  <c r="I134" i="25" s="1"/>
  <c r="Q134" i="25"/>
  <c r="U104" i="25"/>
  <c r="W104" i="25" s="1"/>
  <c r="AG104" i="25"/>
  <c r="G104" i="25"/>
  <c r="I104" i="25" s="1"/>
  <c r="Z104" i="25"/>
  <c r="Z124" i="25"/>
  <c r="AF124" i="25"/>
  <c r="S124" i="25"/>
  <c r="F149" i="32"/>
  <c r="E149" i="32"/>
  <c r="H104" i="25"/>
  <c r="M149" i="25"/>
  <c r="Q21" i="23"/>
  <c r="I21" i="23" s="1"/>
  <c r="R21" i="23"/>
  <c r="J21" i="23" s="1"/>
  <c r="A26" i="25"/>
  <c r="C57" i="67"/>
  <c r="C62" i="67" s="1"/>
  <c r="E71" i="32"/>
  <c r="C75" i="32"/>
  <c r="N34" i="25"/>
  <c r="P34" i="25" s="1"/>
  <c r="AH55" i="25"/>
  <c r="Q104" i="25"/>
  <c r="X89" i="25"/>
  <c r="Y104" i="25"/>
  <c r="V89" i="25"/>
  <c r="AE89" i="25"/>
  <c r="J89" i="25"/>
  <c r="R104" i="25"/>
  <c r="O89" i="25"/>
  <c r="V104" i="25"/>
  <c r="G89" i="25"/>
  <c r="I89" i="25" s="1"/>
  <c r="F192" i="32"/>
  <c r="G105" i="32"/>
  <c r="J5" i="25"/>
  <c r="AE104" i="25"/>
  <c r="X104" i="25"/>
  <c r="F78" i="25"/>
  <c r="N78" i="25" s="1"/>
  <c r="P78" i="25" s="1"/>
  <c r="AB5" i="25"/>
  <c r="AD5" i="25" s="1"/>
  <c r="AF104" i="25"/>
  <c r="K104" i="25"/>
  <c r="H5" i="25"/>
  <c r="O104" i="25"/>
  <c r="J104" i="25"/>
  <c r="AC104" i="25"/>
  <c r="Q129" i="25"/>
  <c r="G5" i="25"/>
  <c r="I5" i="25" s="1"/>
  <c r="G84" i="32"/>
  <c r="B32" i="32"/>
  <c r="G127" i="25"/>
  <c r="I127" i="25" s="1"/>
  <c r="T105" i="25"/>
  <c r="D151" i="32"/>
  <c r="G151" i="32"/>
  <c r="S34" i="25"/>
  <c r="R134" i="25"/>
  <c r="V134" i="25"/>
  <c r="AF134" i="25"/>
  <c r="AB129" i="25"/>
  <c r="AD129" i="25" s="1"/>
  <c r="Q69" i="25"/>
  <c r="AB44" i="25"/>
  <c r="AD44" i="25" s="1"/>
  <c r="AA25" i="25"/>
  <c r="AC34" i="25"/>
  <c r="AC129" i="25"/>
  <c r="O34" i="25"/>
  <c r="Z48" i="25"/>
  <c r="AE134" i="25"/>
  <c r="AB134" i="25"/>
  <c r="AD134" i="25" s="1"/>
  <c r="K134" i="25"/>
  <c r="F105" i="32"/>
  <c r="AC5" i="25"/>
  <c r="AJ65" i="25"/>
  <c r="F84" i="32"/>
  <c r="D107" i="32"/>
  <c r="E105" i="32"/>
  <c r="D140" i="32"/>
  <c r="C18" i="67"/>
  <c r="AG134" i="25"/>
  <c r="L134" i="25"/>
  <c r="F98" i="25"/>
  <c r="AB98" i="25" s="1"/>
  <c r="AD98" i="25" s="1"/>
  <c r="G107" i="32"/>
  <c r="Z134" i="25"/>
  <c r="AE5" i="25"/>
  <c r="O5" i="25"/>
  <c r="F140" i="32"/>
  <c r="G140" i="32"/>
  <c r="E28" i="25"/>
  <c r="F128" i="25"/>
  <c r="K128" i="25" s="1"/>
  <c r="F138" i="32"/>
  <c r="D128" i="25"/>
  <c r="G138" i="32"/>
  <c r="AA55" i="25"/>
  <c r="M115" i="25"/>
  <c r="K34" i="25"/>
  <c r="AF34" i="25"/>
  <c r="G26" i="32"/>
  <c r="Q34" i="25"/>
  <c r="T95" i="25"/>
  <c r="AE34" i="25"/>
  <c r="AE107" i="25"/>
  <c r="G49" i="32"/>
  <c r="AG34" i="25"/>
  <c r="AC109" i="25"/>
  <c r="AH109" i="25" s="1"/>
  <c r="E138" i="32"/>
  <c r="AB34" i="25"/>
  <c r="AD34" i="25" s="1"/>
  <c r="AC107" i="25"/>
  <c r="AH107" i="25" s="1"/>
  <c r="T125" i="25"/>
  <c r="E26" i="32"/>
  <c r="AB127" i="25"/>
  <c r="AD127" i="25" s="1"/>
  <c r="F38" i="25"/>
  <c r="N139" i="25"/>
  <c r="P139" i="25" s="1"/>
  <c r="F179" i="32"/>
  <c r="F24" i="25"/>
  <c r="O44" i="25"/>
  <c r="E39" i="32"/>
  <c r="D65" i="67"/>
  <c r="Q23" i="23"/>
  <c r="I23" i="23" s="1"/>
  <c r="G41" i="32"/>
  <c r="D43" i="32"/>
  <c r="G139" i="25"/>
  <c r="I139" i="25" s="1"/>
  <c r="E41" i="32"/>
  <c r="F41" i="32"/>
  <c r="G43" i="32"/>
  <c r="B38" i="25"/>
  <c r="AE139" i="25"/>
  <c r="C43" i="32"/>
  <c r="F39" i="32"/>
  <c r="F36" i="25"/>
  <c r="AG36" i="25" s="1"/>
  <c r="G39" i="32"/>
  <c r="AC94" i="25"/>
  <c r="U127" i="25"/>
  <c r="W127" i="25" s="1"/>
  <c r="Q127" i="25"/>
  <c r="X127" i="25"/>
  <c r="T149" i="25"/>
  <c r="N127" i="25"/>
  <c r="P127" i="25" s="1"/>
  <c r="V127" i="25"/>
  <c r="C116" i="67"/>
  <c r="H127" i="25"/>
  <c r="AE127" i="25"/>
  <c r="O127" i="25"/>
  <c r="AC127" i="25"/>
  <c r="C159" i="67"/>
  <c r="S48" i="25"/>
  <c r="J127" i="25"/>
  <c r="M25" i="25"/>
  <c r="AA84" i="25"/>
  <c r="F43" i="32"/>
  <c r="F151" i="32"/>
  <c r="F136" i="25"/>
  <c r="Z136" i="25" s="1"/>
  <c r="D136" i="25"/>
  <c r="G147" i="32"/>
  <c r="H114" i="25"/>
  <c r="T119" i="25"/>
  <c r="AF114" i="25"/>
  <c r="V114" i="25"/>
  <c r="L114" i="25"/>
  <c r="Y156" i="25"/>
  <c r="T115" i="25"/>
  <c r="Z156" i="25"/>
  <c r="N74" i="25"/>
  <c r="P74" i="25" s="1"/>
  <c r="AC74" i="25"/>
  <c r="Q74" i="25"/>
  <c r="K74" i="25"/>
  <c r="R74" i="25"/>
  <c r="G74" i="25"/>
  <c r="I74" i="25" s="1"/>
  <c r="S74" i="25"/>
  <c r="H74" i="25"/>
  <c r="H55" i="25"/>
  <c r="AG74" i="25"/>
  <c r="J74" i="25"/>
  <c r="AE74" i="25"/>
  <c r="AB74" i="25"/>
  <c r="AD74" i="25" s="1"/>
  <c r="V45" i="25"/>
  <c r="K124" i="25"/>
  <c r="G124" i="25"/>
  <c r="I124" i="25" s="1"/>
  <c r="Q124" i="25"/>
  <c r="O156" i="25"/>
  <c r="R156" i="25"/>
  <c r="J129" i="25"/>
  <c r="AJ46" i="25"/>
  <c r="O124" i="25"/>
  <c r="U124" i="25"/>
  <c r="W124" i="25" s="1"/>
  <c r="AC124" i="25"/>
  <c r="Q156" i="25"/>
  <c r="AF156" i="25"/>
  <c r="E192" i="32"/>
  <c r="G192" i="32"/>
  <c r="J124" i="25"/>
  <c r="L124" i="25"/>
  <c r="J156" i="25"/>
  <c r="AG156" i="25"/>
  <c r="X45" i="25"/>
  <c r="U45" i="25"/>
  <c r="W45" i="25" s="1"/>
  <c r="X124" i="25"/>
  <c r="AE124" i="25"/>
  <c r="H156" i="25"/>
  <c r="L156" i="25"/>
  <c r="N156" i="25"/>
  <c r="P156" i="25" s="1"/>
  <c r="X86" i="25"/>
  <c r="H124" i="25"/>
  <c r="R124" i="25"/>
  <c r="K156" i="25"/>
  <c r="S156" i="25"/>
  <c r="AB15" i="25"/>
  <c r="AD15" i="25" s="1"/>
  <c r="D194" i="32"/>
  <c r="N124" i="25"/>
  <c r="P124" i="25" s="1"/>
  <c r="X156" i="25"/>
  <c r="N15" i="25"/>
  <c r="P15" i="25" s="1"/>
  <c r="V48" i="25"/>
  <c r="C69" i="67"/>
  <c r="V49" i="25"/>
  <c r="AG124" i="25"/>
  <c r="G156" i="25"/>
  <c r="I156" i="25" s="1"/>
  <c r="AB124" i="25"/>
  <c r="AD124" i="25" s="1"/>
  <c r="V124" i="25"/>
  <c r="U156" i="25"/>
  <c r="W156" i="25" s="1"/>
  <c r="AA156" i="25" s="1"/>
  <c r="AC15" i="25"/>
  <c r="O139" i="25"/>
  <c r="Q94" i="25"/>
  <c r="H139" i="25"/>
  <c r="AC139" i="25"/>
  <c r="Q139" i="25"/>
  <c r="K94" i="25"/>
  <c r="F147" i="32"/>
  <c r="J139" i="25"/>
  <c r="O94" i="25"/>
  <c r="W94" i="25"/>
  <c r="C151" i="32"/>
  <c r="E147" i="32"/>
  <c r="E57" i="25"/>
  <c r="R57" i="25" s="1"/>
  <c r="V139" i="25"/>
  <c r="AF94" i="25"/>
  <c r="H94" i="25"/>
  <c r="P94" i="25"/>
  <c r="X139" i="25"/>
  <c r="AB139" i="25"/>
  <c r="AD139" i="25" s="1"/>
  <c r="V94" i="25"/>
  <c r="U139" i="25"/>
  <c r="W139" i="25" s="1"/>
  <c r="X94" i="25"/>
  <c r="AD94" i="25"/>
  <c r="J94" i="25"/>
  <c r="M119" i="25"/>
  <c r="AE94" i="25"/>
  <c r="Y94" i="25"/>
  <c r="O69" i="25"/>
  <c r="T69" i="25" s="1"/>
  <c r="D159" i="67"/>
  <c r="M69" i="25"/>
  <c r="Q55" i="23"/>
  <c r="I55" i="23" s="1"/>
  <c r="R55" i="23"/>
  <c r="J55" i="23" s="1"/>
  <c r="AE44" i="25"/>
  <c r="T25" i="25"/>
  <c r="AE15" i="25"/>
  <c r="O15" i="25"/>
  <c r="Q5" i="25"/>
  <c r="Q15" i="25"/>
  <c r="N5" i="25"/>
  <c r="P5" i="25" s="1"/>
  <c r="J55" i="25"/>
  <c r="G55" i="25"/>
  <c r="I55" i="25" s="1"/>
  <c r="AC29" i="25"/>
  <c r="X67" i="25"/>
  <c r="U67" i="25"/>
  <c r="W67" i="25" s="1"/>
  <c r="G67" i="25"/>
  <c r="I67" i="25" s="1"/>
  <c r="H67" i="25"/>
  <c r="N67" i="25"/>
  <c r="P67" i="25" s="1"/>
  <c r="Q67" i="25"/>
  <c r="V67" i="25"/>
  <c r="O67" i="25"/>
  <c r="J67" i="25"/>
  <c r="R47" i="25"/>
  <c r="AC47" i="25"/>
  <c r="V47" i="25"/>
  <c r="AB47" i="25"/>
  <c r="AD47" i="25" s="1"/>
  <c r="U47" i="25"/>
  <c r="W47" i="25" s="1"/>
  <c r="AE47" i="25"/>
  <c r="X47" i="25"/>
  <c r="O47" i="25"/>
  <c r="N47" i="25"/>
  <c r="P47" i="25" s="1"/>
  <c r="Q47" i="25"/>
  <c r="X44" i="25"/>
  <c r="U44" i="25"/>
  <c r="W44" i="25" s="1"/>
  <c r="U114" i="25"/>
  <c r="W114" i="25" s="1"/>
  <c r="R114" i="25"/>
  <c r="N65" i="25"/>
  <c r="P65" i="25" s="1"/>
  <c r="AC44" i="25"/>
  <c r="G129" i="25"/>
  <c r="I129" i="25" s="1"/>
  <c r="C155" i="67"/>
  <c r="C152" i="67" s="1"/>
  <c r="C164" i="67" s="1"/>
  <c r="D108" i="67"/>
  <c r="V44" i="25"/>
  <c r="S114" i="25"/>
  <c r="X114" i="25"/>
  <c r="X65" i="25"/>
  <c r="Q65" i="25"/>
  <c r="N44" i="25"/>
  <c r="P44" i="25" s="1"/>
  <c r="H129" i="25"/>
  <c r="X29" i="25"/>
  <c r="C22" i="67"/>
  <c r="Z114" i="25"/>
  <c r="U65" i="25"/>
  <c r="W65" i="25" s="1"/>
  <c r="R44" i="25"/>
  <c r="N77" i="25"/>
  <c r="P77" i="25" s="1"/>
  <c r="O129" i="25"/>
  <c r="Y44" i="25"/>
  <c r="V65" i="25"/>
  <c r="Q44" i="25"/>
  <c r="H65" i="25"/>
  <c r="K114" i="25"/>
  <c r="Z44" i="25"/>
  <c r="AG114" i="25"/>
  <c r="Y114" i="25"/>
  <c r="O114" i="25"/>
  <c r="AB62" i="25"/>
  <c r="AG67" i="25" s="1"/>
  <c r="AG44" i="25"/>
  <c r="O77" i="25"/>
  <c r="V129" i="25"/>
  <c r="U129" i="25"/>
  <c r="W129" i="25" s="1"/>
  <c r="S44" i="25"/>
  <c r="AC114" i="25"/>
  <c r="Q114" i="25"/>
  <c r="AB114" i="25"/>
  <c r="AD114" i="25" s="1"/>
  <c r="AF44" i="25"/>
  <c r="N129" i="25"/>
  <c r="P129" i="25" s="1"/>
  <c r="X129" i="25"/>
  <c r="O65" i="25"/>
  <c r="AE114" i="25"/>
  <c r="G114" i="25"/>
  <c r="I114" i="25" s="1"/>
  <c r="J114" i="25"/>
  <c r="F46" i="25"/>
  <c r="S46" i="25" s="1"/>
  <c r="AE129" i="25"/>
  <c r="C53" i="32"/>
  <c r="F53" i="32"/>
  <c r="G129" i="32"/>
  <c r="E49" i="32"/>
  <c r="AH149" i="25"/>
  <c r="AH119" i="25"/>
  <c r="AA149" i="25"/>
  <c r="G69" i="32"/>
  <c r="AH115" i="25"/>
  <c r="AE117" i="25"/>
  <c r="G15" i="25"/>
  <c r="I15" i="25" s="1"/>
  <c r="H15" i="25"/>
  <c r="J117" i="25"/>
  <c r="X117" i="25"/>
  <c r="V117" i="25"/>
  <c r="G117" i="25"/>
  <c r="I117" i="25" s="1"/>
  <c r="F129" i="32"/>
  <c r="H117" i="25"/>
  <c r="E39" i="25"/>
  <c r="N39" i="25" s="1"/>
  <c r="P39" i="25" s="1"/>
  <c r="J15" i="25"/>
  <c r="G53" i="32"/>
  <c r="AC117" i="25"/>
  <c r="F64" i="25"/>
  <c r="F69" i="32"/>
  <c r="Q117" i="25"/>
  <c r="B64" i="25"/>
  <c r="O117" i="25"/>
  <c r="T117" i="25" s="1"/>
  <c r="AC49" i="25"/>
  <c r="G6" i="32"/>
  <c r="D6" i="25"/>
  <c r="F6" i="25"/>
  <c r="C10" i="32"/>
  <c r="F6" i="32"/>
  <c r="E6" i="32"/>
  <c r="N49" i="25"/>
  <c r="P49" i="25" s="1"/>
  <c r="J49" i="25"/>
  <c r="C183" i="32"/>
  <c r="U29" i="25"/>
  <c r="W29" i="25" s="1"/>
  <c r="H29" i="25"/>
  <c r="D108" i="25"/>
  <c r="D118" i="32"/>
  <c r="G118" i="32"/>
  <c r="B14" i="25"/>
  <c r="F15" i="32"/>
  <c r="E15" i="32"/>
  <c r="F14" i="25"/>
  <c r="G15" i="32"/>
  <c r="B118" i="25"/>
  <c r="G127" i="32"/>
  <c r="F127" i="32"/>
  <c r="E127" i="32"/>
  <c r="F118" i="25"/>
  <c r="O97" i="25"/>
  <c r="V97" i="25"/>
  <c r="H97" i="25"/>
  <c r="G97" i="25"/>
  <c r="I97" i="25" s="1"/>
  <c r="AB97" i="25"/>
  <c r="AD97" i="25" s="1"/>
  <c r="AC97" i="25"/>
  <c r="N97" i="25"/>
  <c r="P97" i="25" s="1"/>
  <c r="Q97" i="25"/>
  <c r="J97" i="25"/>
  <c r="AE97" i="25"/>
  <c r="X97" i="25"/>
  <c r="U97" i="25"/>
  <c r="W97" i="25" s="1"/>
  <c r="AB49" i="25"/>
  <c r="AD49" i="25" s="1"/>
  <c r="AE29" i="25"/>
  <c r="J29" i="25"/>
  <c r="G29" i="25"/>
  <c r="I29" i="25" s="1"/>
  <c r="D76" i="25"/>
  <c r="G82" i="32"/>
  <c r="F82" i="32"/>
  <c r="D4" i="25"/>
  <c r="B10" i="32"/>
  <c r="E16" i="25"/>
  <c r="D34" i="67"/>
  <c r="O49" i="25"/>
  <c r="N29" i="25"/>
  <c r="P29" i="25" s="1"/>
  <c r="V29" i="25"/>
  <c r="F49" i="32"/>
  <c r="B108" i="25"/>
  <c r="G116" i="32"/>
  <c r="F116" i="32"/>
  <c r="E116" i="32"/>
  <c r="F108" i="25"/>
  <c r="F4" i="25"/>
  <c r="B4" i="25"/>
  <c r="G4" i="32"/>
  <c r="F4" i="32"/>
  <c r="E4" i="32"/>
  <c r="O99" i="25"/>
  <c r="AE99" i="25"/>
  <c r="N99" i="25"/>
  <c r="P99" i="25" s="1"/>
  <c r="X99" i="25"/>
  <c r="Q99" i="25"/>
  <c r="J99" i="25"/>
  <c r="AC99" i="25"/>
  <c r="AB99" i="25"/>
  <c r="AD99" i="25" s="1"/>
  <c r="H99" i="25"/>
  <c r="G99" i="25"/>
  <c r="I99" i="25" s="1"/>
  <c r="U99" i="25"/>
  <c r="W99" i="25" s="1"/>
  <c r="V99" i="25"/>
  <c r="E17" i="25"/>
  <c r="Q17" i="25" s="1"/>
  <c r="D38" i="67"/>
  <c r="U49" i="25"/>
  <c r="W49" i="25" s="1"/>
  <c r="Q49" i="25"/>
  <c r="E190" i="32"/>
  <c r="F183" i="32"/>
  <c r="E6" i="25"/>
  <c r="D10" i="67"/>
  <c r="U32" i="25"/>
  <c r="U35" i="25" s="1"/>
  <c r="W35" i="25" s="1"/>
  <c r="Q35" i="25"/>
  <c r="AE35" i="25"/>
  <c r="AB35" i="25"/>
  <c r="AD35" i="25" s="1"/>
  <c r="N35" i="25"/>
  <c r="P35" i="25" s="1"/>
  <c r="O35" i="25"/>
  <c r="AC35" i="25"/>
  <c r="D18" i="67"/>
  <c r="Q7" i="23"/>
  <c r="I7" i="23" s="1"/>
  <c r="E8" i="25"/>
  <c r="R7" i="23"/>
  <c r="J7" i="23" s="1"/>
  <c r="AG17" i="25"/>
  <c r="F118" i="32"/>
  <c r="A19" i="25"/>
  <c r="C46" i="67"/>
  <c r="G179" i="32"/>
  <c r="AB29" i="25"/>
  <c r="AD29" i="25" s="1"/>
  <c r="A18" i="25"/>
  <c r="C42" i="67"/>
  <c r="J109" i="25"/>
  <c r="N109" i="25"/>
  <c r="P109" i="25" s="1"/>
  <c r="O109" i="25"/>
  <c r="X109" i="25"/>
  <c r="Q109" i="25"/>
  <c r="G109" i="25"/>
  <c r="I109" i="25" s="1"/>
  <c r="H109" i="25"/>
  <c r="V109" i="25"/>
  <c r="U109" i="25"/>
  <c r="W109" i="25" s="1"/>
  <c r="AB117" i="25"/>
  <c r="AD117" i="25" s="1"/>
  <c r="E18" i="25"/>
  <c r="D42" i="67"/>
  <c r="Q15" i="23"/>
  <c r="I15" i="23" s="1"/>
  <c r="R15" i="23"/>
  <c r="J15" i="23" s="1"/>
  <c r="AC87" i="25"/>
  <c r="X87" i="25"/>
  <c r="G87" i="25"/>
  <c r="I87" i="25" s="1"/>
  <c r="AE87" i="25"/>
  <c r="V87" i="25"/>
  <c r="J87" i="25"/>
  <c r="N87" i="25"/>
  <c r="P87" i="25" s="1"/>
  <c r="O87" i="25"/>
  <c r="U87" i="25"/>
  <c r="W87" i="25" s="1"/>
  <c r="AB87" i="25"/>
  <c r="AD87" i="25" s="1"/>
  <c r="H87" i="25"/>
  <c r="Q87" i="25"/>
  <c r="X49" i="25"/>
  <c r="AE49" i="25"/>
  <c r="E27" i="25"/>
  <c r="D61" i="67"/>
  <c r="D56" i="25"/>
  <c r="E9" i="25"/>
  <c r="AG9" i="25" s="1"/>
  <c r="D22" i="67"/>
  <c r="X107" i="25"/>
  <c r="Q107" i="25"/>
  <c r="V107" i="25"/>
  <c r="G107" i="25"/>
  <c r="I107" i="25" s="1"/>
  <c r="U107" i="25"/>
  <c r="W107" i="25" s="1"/>
  <c r="N107" i="25"/>
  <c r="P107" i="25" s="1"/>
  <c r="O107" i="25"/>
  <c r="J107" i="25"/>
  <c r="H107" i="25"/>
  <c r="D118" i="25"/>
  <c r="D129" i="32"/>
  <c r="AB77" i="25"/>
  <c r="AD77" i="25" s="1"/>
  <c r="G77" i="25"/>
  <c r="I77" i="25" s="1"/>
  <c r="H77" i="25"/>
  <c r="J77" i="25"/>
  <c r="AE77" i="25"/>
  <c r="AC77" i="25"/>
  <c r="Y29" i="25"/>
  <c r="Q29" i="25"/>
  <c r="O29" i="25"/>
  <c r="B76" i="25"/>
  <c r="F76" i="25"/>
  <c r="E19" i="25"/>
  <c r="D46" i="67"/>
  <c r="Q13" i="23"/>
  <c r="I13" i="23" s="1"/>
  <c r="R13" i="23"/>
  <c r="J13" i="23" s="1"/>
  <c r="C34" i="67"/>
  <c r="C39" i="67" s="1"/>
  <c r="A16" i="25"/>
  <c r="B21" i="32"/>
  <c r="Y115" i="25"/>
  <c r="U117" i="25"/>
  <c r="W117" i="25" s="1"/>
  <c r="U115" i="25"/>
  <c r="W115" i="25" s="1"/>
  <c r="V115" i="25"/>
  <c r="U119" i="25"/>
  <c r="W119" i="25" s="1"/>
  <c r="X119" i="25"/>
  <c r="AJ116" i="25"/>
  <c r="X115" i="25"/>
  <c r="V119" i="25"/>
  <c r="D66" i="25"/>
  <c r="G71" i="32"/>
  <c r="F71" i="32"/>
  <c r="X48" i="25"/>
  <c r="O48" i="25"/>
  <c r="AC48" i="25"/>
  <c r="U48" i="25"/>
  <c r="W48" i="25" s="1"/>
  <c r="R48" i="25"/>
  <c r="Y48" i="25"/>
  <c r="AA125" i="25"/>
  <c r="AH125" i="25"/>
  <c r="G194" i="32"/>
  <c r="N48" i="25"/>
  <c r="P48" i="25" s="1"/>
  <c r="AF48" i="25"/>
  <c r="U148" i="25"/>
  <c r="W148" i="25" s="1"/>
  <c r="AE48" i="25"/>
  <c r="AB48" i="25"/>
  <c r="AD48" i="25" s="1"/>
  <c r="Q48" i="25"/>
  <c r="H148" i="25"/>
  <c r="G190" i="32"/>
  <c r="AH84" i="25"/>
  <c r="G183" i="32"/>
  <c r="E181" i="32"/>
  <c r="D183" i="32"/>
  <c r="F181" i="32"/>
  <c r="G181" i="32"/>
  <c r="X148" i="25"/>
  <c r="F194" i="32"/>
  <c r="V148" i="25"/>
  <c r="Q148" i="25"/>
  <c r="AE148" i="25"/>
  <c r="N148" i="25"/>
  <c r="P148" i="25" s="1"/>
  <c r="O148" i="25"/>
  <c r="J148" i="25"/>
  <c r="AB148" i="25"/>
  <c r="AD148" i="25" s="1"/>
  <c r="G148" i="25"/>
  <c r="I148" i="25" s="1"/>
  <c r="C194" i="32"/>
  <c r="F190" i="32"/>
  <c r="Z148" i="25"/>
  <c r="S148" i="25"/>
  <c r="AG148" i="25"/>
  <c r="K148" i="25"/>
  <c r="R148" i="25"/>
  <c r="AC148" i="25"/>
  <c r="L148" i="25"/>
  <c r="AF148" i="25"/>
  <c r="G9" i="8"/>
  <c r="I9" i="8" s="1"/>
  <c r="T84" i="25"/>
  <c r="H86" i="25"/>
  <c r="M144" i="25"/>
  <c r="I126" i="25"/>
  <c r="AH105" i="25"/>
  <c r="AH147" i="25"/>
  <c r="T147" i="25"/>
  <c r="T135" i="25"/>
  <c r="X159" i="25"/>
  <c r="G159" i="25"/>
  <c r="I159" i="25" s="1"/>
  <c r="H159" i="25"/>
  <c r="U159" i="25"/>
  <c r="W159" i="25" s="1"/>
  <c r="Q159" i="25"/>
  <c r="O159" i="25"/>
  <c r="V159" i="25"/>
  <c r="J159" i="25"/>
  <c r="N159" i="25"/>
  <c r="P159" i="25" s="1"/>
  <c r="N14" i="8"/>
  <c r="P14" i="8" s="1"/>
  <c r="Q126" i="25"/>
  <c r="AG126" i="25"/>
  <c r="G137" i="25"/>
  <c r="I137" i="25" s="1"/>
  <c r="X126" i="25"/>
  <c r="R126" i="25"/>
  <c r="L126" i="25"/>
  <c r="S126" i="25"/>
  <c r="N126" i="25"/>
  <c r="P126" i="25" s="1"/>
  <c r="O126" i="25"/>
  <c r="J126" i="25"/>
  <c r="O86" i="25"/>
  <c r="M84" i="25"/>
  <c r="H126" i="25"/>
  <c r="K126" i="25"/>
  <c r="U126" i="25"/>
  <c r="W126" i="25" s="1"/>
  <c r="Y126" i="25"/>
  <c r="AE126" i="25"/>
  <c r="V126" i="25"/>
  <c r="AB126" i="25"/>
  <c r="AD126" i="25" s="1"/>
  <c r="AC126" i="25"/>
  <c r="Z126" i="25"/>
  <c r="Y86" i="25"/>
  <c r="AF126" i="25"/>
  <c r="AH144" i="25"/>
  <c r="J86" i="25"/>
  <c r="L86" i="25"/>
  <c r="S86" i="25"/>
  <c r="Q86" i="25"/>
  <c r="AB86" i="25"/>
  <c r="AD86" i="25" s="1"/>
  <c r="U86" i="25"/>
  <c r="W86" i="25" s="1"/>
  <c r="O14" i="8"/>
  <c r="G12" i="8"/>
  <c r="AJ14" i="8" s="1"/>
  <c r="Q14" i="8"/>
  <c r="M147" i="25"/>
  <c r="T144" i="25"/>
  <c r="AH135" i="25"/>
  <c r="AA135" i="25"/>
  <c r="M125" i="25"/>
  <c r="V9" i="8"/>
  <c r="Z86" i="25"/>
  <c r="R86" i="25"/>
  <c r="N86" i="25"/>
  <c r="P86" i="25" s="1"/>
  <c r="AA147" i="25"/>
  <c r="V86" i="25"/>
  <c r="AC86" i="25"/>
  <c r="K86" i="25"/>
  <c r="AE86" i="25"/>
  <c r="AF58" i="25"/>
  <c r="G86" i="25"/>
  <c r="I86" i="25" s="1"/>
  <c r="AF86" i="25"/>
  <c r="AG86" i="25"/>
  <c r="AC146" i="25"/>
  <c r="AA144" i="25"/>
  <c r="Y58" i="25"/>
  <c r="V146" i="25"/>
  <c r="AJ35" i="8"/>
  <c r="M135" i="25"/>
  <c r="J34" i="8"/>
  <c r="N34" i="8"/>
  <c r="P34" i="8" s="1"/>
  <c r="T34" i="8" s="1"/>
  <c r="V137" i="25"/>
  <c r="O137" i="25"/>
  <c r="Q34" i="8"/>
  <c r="J137" i="25"/>
  <c r="H34" i="8"/>
  <c r="Q137" i="25"/>
  <c r="AC137" i="25"/>
  <c r="AE137" i="25"/>
  <c r="G34" i="8"/>
  <c r="I34" i="8" s="1"/>
  <c r="G39" i="8"/>
  <c r="I39" i="8" s="1"/>
  <c r="Q37" i="8"/>
  <c r="X137" i="25"/>
  <c r="AA155" i="25"/>
  <c r="AB19" i="8"/>
  <c r="AD19" i="8" s="1"/>
  <c r="H137" i="25"/>
  <c r="AH25" i="25"/>
  <c r="AB14" i="8"/>
  <c r="AD14" i="8" s="1"/>
  <c r="H24" i="8"/>
  <c r="U137" i="25"/>
  <c r="W137" i="25" s="1"/>
  <c r="AG146" i="25"/>
  <c r="J146" i="25"/>
  <c r="R146" i="25"/>
  <c r="U146" i="25"/>
  <c r="X146" i="25"/>
  <c r="AE146" i="25"/>
  <c r="K146" i="25"/>
  <c r="L146" i="25"/>
  <c r="Z146" i="25"/>
  <c r="Y146" i="25"/>
  <c r="Y150" i="25" s="1"/>
  <c r="AO146" i="25" s="1"/>
  <c r="AF146" i="25"/>
  <c r="O146" i="25"/>
  <c r="S146" i="25"/>
  <c r="G146" i="25"/>
  <c r="N146" i="25"/>
  <c r="AB146" i="25"/>
  <c r="H146" i="25"/>
  <c r="Q146" i="25"/>
  <c r="AB156" i="25"/>
  <c r="AD156" i="25" s="1"/>
  <c r="H39" i="8"/>
  <c r="AE38" i="8"/>
  <c r="S79" i="25"/>
  <c r="R79" i="25"/>
  <c r="AB39" i="8"/>
  <c r="AD39" i="8" s="1"/>
  <c r="AE154" i="25"/>
  <c r="J39" i="8"/>
  <c r="N39" i="8"/>
  <c r="P39" i="8" s="1"/>
  <c r="N16" i="8"/>
  <c r="P16" i="8" s="1"/>
  <c r="H34" i="25"/>
  <c r="AC156" i="25"/>
  <c r="H44" i="25"/>
  <c r="AB154" i="25"/>
  <c r="AD154" i="25" s="1"/>
  <c r="V15" i="25"/>
  <c r="AB137" i="25"/>
  <c r="AD137" i="25" s="1"/>
  <c r="AE156" i="25"/>
  <c r="X15" i="25"/>
  <c r="J34" i="25"/>
  <c r="G205" i="32"/>
  <c r="N137" i="25"/>
  <c r="P137" i="25" s="1"/>
  <c r="N19" i="8"/>
  <c r="P19" i="8" s="1"/>
  <c r="O39" i="8"/>
  <c r="M155" i="25"/>
  <c r="J26" i="8"/>
  <c r="O79" i="25"/>
  <c r="T79" i="25" s="1"/>
  <c r="Z15" i="25"/>
  <c r="Y15" i="25"/>
  <c r="K49" i="25"/>
  <c r="K44" i="25"/>
  <c r="J44" i="25"/>
  <c r="N4" i="8"/>
  <c r="P4" i="8" s="1"/>
  <c r="J24" i="8"/>
  <c r="G26" i="8"/>
  <c r="I26" i="8" s="1"/>
  <c r="Q79" i="25"/>
  <c r="U15" i="25"/>
  <c r="W15" i="25" s="1"/>
  <c r="F66" i="25"/>
  <c r="B66" i="25"/>
  <c r="D205" i="32"/>
  <c r="AJ44" i="25"/>
  <c r="L48" i="25"/>
  <c r="J47" i="25"/>
  <c r="H45" i="25"/>
  <c r="G47" i="25"/>
  <c r="I47" i="25" s="1"/>
  <c r="H47" i="25"/>
  <c r="K47" i="25"/>
  <c r="K45" i="25"/>
  <c r="G45" i="25"/>
  <c r="I45" i="25" s="1"/>
  <c r="J48" i="25"/>
  <c r="H48" i="25"/>
  <c r="L45" i="25"/>
  <c r="L47" i="25"/>
  <c r="G48" i="25"/>
  <c r="I48" i="25" s="1"/>
  <c r="J45" i="25"/>
  <c r="K48" i="25"/>
  <c r="L49" i="25"/>
  <c r="AJ157" i="25"/>
  <c r="AB155" i="25"/>
  <c r="AD155" i="25" s="1"/>
  <c r="AE155" i="25"/>
  <c r="AC155" i="25"/>
  <c r="AC159" i="25"/>
  <c r="AE159" i="25"/>
  <c r="AB159" i="25"/>
  <c r="AD159" i="25" s="1"/>
  <c r="F203" i="32"/>
  <c r="E203" i="32"/>
  <c r="G203" i="32"/>
  <c r="AG158" i="25"/>
  <c r="Y158" i="25"/>
  <c r="AC158" i="25"/>
  <c r="AF158" i="25"/>
  <c r="S158" i="25"/>
  <c r="L158" i="25"/>
  <c r="AB158" i="25"/>
  <c r="AD158" i="25" s="1"/>
  <c r="R158" i="25"/>
  <c r="K158" i="25"/>
  <c r="G158" i="25"/>
  <c r="I158" i="25" s="1"/>
  <c r="Z158" i="25"/>
  <c r="H158" i="25"/>
  <c r="AE158" i="25"/>
  <c r="J158" i="25"/>
  <c r="U158" i="25"/>
  <c r="W158" i="25" s="1"/>
  <c r="Q158" i="25"/>
  <c r="V158" i="25"/>
  <c r="O158" i="25"/>
  <c r="X158" i="25"/>
  <c r="N158" i="25"/>
  <c r="P158" i="25" s="1"/>
  <c r="Y88" i="25"/>
  <c r="AE88" i="25"/>
  <c r="Z88" i="25"/>
  <c r="S88" i="25"/>
  <c r="X88" i="25"/>
  <c r="O88" i="25"/>
  <c r="N88" i="25"/>
  <c r="P88" i="25" s="1"/>
  <c r="AF88" i="25"/>
  <c r="AC88" i="25"/>
  <c r="V88" i="25"/>
  <c r="R88" i="25"/>
  <c r="U88" i="25"/>
  <c r="W88" i="25" s="1"/>
  <c r="AG88" i="25"/>
  <c r="Q88" i="25"/>
  <c r="AB88" i="25"/>
  <c r="AD88" i="25" s="1"/>
  <c r="H88" i="25"/>
  <c r="J88" i="25"/>
  <c r="G88" i="25"/>
  <c r="I88" i="25" s="1"/>
  <c r="K88" i="25"/>
  <c r="L88" i="25"/>
  <c r="AE5" i="8"/>
  <c r="AE157" i="25"/>
  <c r="J157" i="25"/>
  <c r="AB157" i="25"/>
  <c r="AD157" i="25" s="1"/>
  <c r="G157" i="25"/>
  <c r="I157" i="25" s="1"/>
  <c r="H157" i="25"/>
  <c r="AC157" i="25"/>
  <c r="N157" i="25"/>
  <c r="P157" i="25" s="1"/>
  <c r="U157" i="25"/>
  <c r="W157" i="25" s="1"/>
  <c r="O157" i="25"/>
  <c r="X157" i="25"/>
  <c r="Q157" i="25"/>
  <c r="V157" i="25"/>
  <c r="AE4" i="8"/>
  <c r="N5" i="8"/>
  <c r="P5" i="8" s="1"/>
  <c r="G201" i="32"/>
  <c r="E201" i="32"/>
  <c r="F201" i="32"/>
  <c r="G49" i="25"/>
  <c r="I49" i="25" s="1"/>
  <c r="F205" i="32"/>
  <c r="I94" i="25"/>
  <c r="G44" i="25"/>
  <c r="H4" i="8"/>
  <c r="N9" i="8"/>
  <c r="P9" i="8" s="1"/>
  <c r="AJ16" i="25"/>
  <c r="C205" i="32"/>
  <c r="H49" i="25"/>
  <c r="L44" i="25"/>
  <c r="V26" i="8"/>
  <c r="H26" i="8"/>
  <c r="X26" i="8"/>
  <c r="Q9" i="8"/>
  <c r="T75" i="25"/>
  <c r="AB4" i="8"/>
  <c r="AD4" i="8" s="1"/>
  <c r="Q4" i="8"/>
  <c r="H38" i="8"/>
  <c r="O9" i="8"/>
  <c r="G24" i="8"/>
  <c r="I24" i="8" s="1"/>
  <c r="P154" i="25"/>
  <c r="T154" i="25" s="1"/>
  <c r="G4" i="8"/>
  <c r="I4" i="8" s="1"/>
  <c r="AH75" i="25"/>
  <c r="T45" i="25"/>
  <c r="Q26" i="8"/>
  <c r="O4" i="8"/>
  <c r="O6" i="8"/>
  <c r="AC38" i="8"/>
  <c r="V106" i="25"/>
  <c r="U106" i="25"/>
  <c r="W106" i="25" s="1"/>
  <c r="X106" i="25"/>
  <c r="L106" i="25"/>
  <c r="S106" i="25"/>
  <c r="AE106" i="25"/>
  <c r="J106" i="25"/>
  <c r="K106" i="25"/>
  <c r="AC106" i="25"/>
  <c r="R106" i="25"/>
  <c r="AG106" i="25"/>
  <c r="Y106" i="25"/>
  <c r="O106" i="25"/>
  <c r="H106" i="25"/>
  <c r="Q106" i="25"/>
  <c r="G106" i="25"/>
  <c r="I106" i="25" s="1"/>
  <c r="Z106" i="25"/>
  <c r="AB106" i="25"/>
  <c r="AD106" i="25" s="1"/>
  <c r="N106" i="25"/>
  <c r="AF106" i="25"/>
  <c r="U4" i="8"/>
  <c r="W4" i="8" s="1"/>
  <c r="O38" i="8"/>
  <c r="J37" i="8"/>
  <c r="AC34" i="8"/>
  <c r="Y75" i="25"/>
  <c r="U75" i="25"/>
  <c r="W75" i="25" s="1"/>
  <c r="AA75" i="25" s="1"/>
  <c r="Q25" i="3"/>
  <c r="R25" i="3" s="1"/>
  <c r="C7" i="1" s="1"/>
  <c r="B22" i="21"/>
  <c r="C26" i="3"/>
  <c r="G34" i="25"/>
  <c r="AC39" i="8"/>
  <c r="O37" i="8"/>
  <c r="H37" i="8"/>
  <c r="M37" i="8" s="1"/>
  <c r="N26" i="8"/>
  <c r="P26" i="8" s="1"/>
  <c r="AE34" i="8"/>
  <c r="U29" i="8"/>
  <c r="W29" i="8" s="1"/>
  <c r="N6" i="8"/>
  <c r="P6" i="8" s="1"/>
  <c r="Z75" i="25"/>
  <c r="Q38" i="8"/>
  <c r="G38" i="8"/>
  <c r="I38" i="8" s="1"/>
  <c r="O26" i="8"/>
  <c r="Q37" i="25"/>
  <c r="S37" i="25"/>
  <c r="N37" i="25"/>
  <c r="P37" i="25" s="1"/>
  <c r="R37" i="25"/>
  <c r="O37" i="25"/>
  <c r="AC37" i="25"/>
  <c r="AB37" i="25"/>
  <c r="AD37" i="25" s="1"/>
  <c r="AE37" i="25"/>
  <c r="B22" i="20"/>
  <c r="B20" i="6"/>
  <c r="AJ34" i="25"/>
  <c r="J35" i="25"/>
  <c r="L35" i="25"/>
  <c r="K35" i="25"/>
  <c r="G35" i="25"/>
  <c r="I35" i="25" s="1"/>
  <c r="H35" i="25"/>
  <c r="G37" i="25"/>
  <c r="I37" i="25" s="1"/>
  <c r="H37" i="25"/>
  <c r="L37" i="25"/>
  <c r="J37" i="25"/>
  <c r="K37" i="25"/>
  <c r="N37" i="8"/>
  <c r="P37" i="8" s="1"/>
  <c r="J38" i="8"/>
  <c r="W154" i="25"/>
  <c r="P114" i="25"/>
  <c r="AJ76" i="25"/>
  <c r="V74" i="25"/>
  <c r="Z74" i="25"/>
  <c r="X74" i="25"/>
  <c r="U74" i="25"/>
  <c r="V79" i="25"/>
  <c r="Y79" i="25"/>
  <c r="Y74" i="25"/>
  <c r="X79" i="25"/>
  <c r="Z79" i="25"/>
  <c r="U79" i="25"/>
  <c r="W79" i="25" s="1"/>
  <c r="X77" i="25"/>
  <c r="V77" i="25"/>
  <c r="Z77" i="25"/>
  <c r="U77" i="25"/>
  <c r="W77" i="25" s="1"/>
  <c r="Y77" i="25"/>
  <c r="L34" i="25"/>
  <c r="L39" i="25"/>
  <c r="K39" i="25"/>
  <c r="B7" i="10"/>
  <c r="A18" i="19" s="1"/>
  <c r="B14" i="19"/>
  <c r="Q6" i="10"/>
  <c r="C7" i="10"/>
  <c r="N38" i="8"/>
  <c r="P38" i="8" s="1"/>
  <c r="AB38" i="8"/>
  <c r="AD38" i="8" s="1"/>
  <c r="M75" i="25"/>
  <c r="X75" i="25"/>
  <c r="J79" i="25"/>
  <c r="AF79" i="25"/>
  <c r="G79" i="25"/>
  <c r="I79" i="25" s="1"/>
  <c r="H79" i="25"/>
  <c r="AB79" i="25"/>
  <c r="AD79" i="25" s="1"/>
  <c r="AG79" i="25"/>
  <c r="AE79" i="25"/>
  <c r="AC79" i="25"/>
  <c r="I154" i="25"/>
  <c r="M154" i="25" s="1"/>
  <c r="Q19" i="8"/>
  <c r="X29" i="8"/>
  <c r="V29" i="8"/>
  <c r="H29" i="8"/>
  <c r="G29" i="8"/>
  <c r="I29" i="8" s="1"/>
  <c r="J29" i="8"/>
  <c r="AJ24" i="8"/>
  <c r="AE19" i="8"/>
  <c r="U26" i="8"/>
  <c r="W26" i="8" s="1"/>
  <c r="V24" i="8"/>
  <c r="X24" i="8"/>
  <c r="Q6" i="8"/>
  <c r="AB34" i="8"/>
  <c r="AD34" i="8" s="1"/>
  <c r="AJ37" i="8"/>
  <c r="AE39" i="8"/>
  <c r="Q39" i="8"/>
  <c r="AJ26" i="8"/>
  <c r="U24" i="8"/>
  <c r="W24" i="8" s="1"/>
  <c r="AE37" i="8"/>
  <c r="AC37" i="8"/>
  <c r="AB37" i="8"/>
  <c r="AD37" i="8" s="1"/>
  <c r="J5" i="8"/>
  <c r="G5" i="8"/>
  <c r="I5" i="8" s="1"/>
  <c r="Q36" i="8"/>
  <c r="O16" i="8"/>
  <c r="AE9" i="8"/>
  <c r="O24" i="8"/>
  <c r="N24" i="8"/>
  <c r="P24" i="8" s="1"/>
  <c r="Q29" i="8"/>
  <c r="AJ25" i="8"/>
  <c r="Q24" i="8"/>
  <c r="N29" i="8"/>
  <c r="P29" i="8" s="1"/>
  <c r="O29" i="8"/>
  <c r="O19" i="8"/>
  <c r="H5" i="8"/>
  <c r="AE16" i="8"/>
  <c r="J9" i="8"/>
  <c r="O27" i="8"/>
  <c r="Q27" i="8"/>
  <c r="N27" i="8"/>
  <c r="P27" i="8" s="1"/>
  <c r="G27" i="8"/>
  <c r="I27" i="8" s="1"/>
  <c r="U27" i="8"/>
  <c r="W27" i="8" s="1"/>
  <c r="H27" i="8"/>
  <c r="V27" i="8"/>
  <c r="X27" i="8"/>
  <c r="J27" i="8"/>
  <c r="X9" i="8"/>
  <c r="U12" i="8"/>
  <c r="V15" i="8" s="1"/>
  <c r="AE15" i="8"/>
  <c r="AB15" i="8"/>
  <c r="AD15" i="8" s="1"/>
  <c r="N15" i="8"/>
  <c r="P15" i="8" s="1"/>
  <c r="AC15" i="8"/>
  <c r="O15" i="8"/>
  <c r="Q15" i="8"/>
  <c r="AC19" i="8"/>
  <c r="AE14" i="8"/>
  <c r="AC4" i="8"/>
  <c r="J4" i="8"/>
  <c r="U5" i="8"/>
  <c r="W5" i="8" s="1"/>
  <c r="Q5" i="8"/>
  <c r="J36" i="8"/>
  <c r="AB22" i="8"/>
  <c r="AC27" i="8" s="1"/>
  <c r="O25" i="8"/>
  <c r="H25" i="8"/>
  <c r="V25" i="8"/>
  <c r="N25" i="8"/>
  <c r="U25" i="8"/>
  <c r="W25" i="8" s="1"/>
  <c r="G25" i="8"/>
  <c r="J25" i="8"/>
  <c r="Q25" i="8"/>
  <c r="X25" i="8"/>
  <c r="Q16" i="8"/>
  <c r="U9" i="8"/>
  <c r="W9" i="8" s="1"/>
  <c r="AB17" i="8"/>
  <c r="AD17" i="8" s="1"/>
  <c r="AE17" i="8"/>
  <c r="Q17" i="8"/>
  <c r="N17" i="8"/>
  <c r="P17" i="8" s="1"/>
  <c r="AC17" i="8"/>
  <c r="O17" i="8"/>
  <c r="V5" i="8"/>
  <c r="AC36" i="8"/>
  <c r="AB36" i="8"/>
  <c r="AD36" i="8" s="1"/>
  <c r="AE36" i="8"/>
  <c r="AJ7" i="8"/>
  <c r="AE6" i="8"/>
  <c r="AB6" i="8"/>
  <c r="AD6" i="8" s="1"/>
  <c r="AC6" i="8"/>
  <c r="O36" i="8"/>
  <c r="AB16" i="8"/>
  <c r="AD16" i="8" s="1"/>
  <c r="AC16" i="8"/>
  <c r="AB9" i="8"/>
  <c r="AD9" i="8" s="1"/>
  <c r="U32" i="8"/>
  <c r="X35" i="8" s="1"/>
  <c r="AB35" i="8"/>
  <c r="AE35" i="8"/>
  <c r="J35" i="8"/>
  <c r="H35" i="8"/>
  <c r="Q35" i="8"/>
  <c r="O35" i="8"/>
  <c r="AC35" i="8"/>
  <c r="G35" i="8"/>
  <c r="I35" i="8" s="1"/>
  <c r="N35" i="8"/>
  <c r="AB18" i="8"/>
  <c r="AD18" i="8" s="1"/>
  <c r="AC18" i="8"/>
  <c r="Q18" i="8"/>
  <c r="AE18" i="8"/>
  <c r="N18" i="8"/>
  <c r="P18" i="8" s="1"/>
  <c r="O18" i="8"/>
  <c r="Q7" i="8"/>
  <c r="V7" i="8"/>
  <c r="U7" i="8"/>
  <c r="W7" i="8" s="1"/>
  <c r="O7" i="8"/>
  <c r="H7" i="8"/>
  <c r="G7" i="8"/>
  <c r="I7" i="8" s="1"/>
  <c r="X7" i="8"/>
  <c r="N7" i="8"/>
  <c r="P7" i="8" s="1"/>
  <c r="J7" i="8"/>
  <c r="AC7" i="8"/>
  <c r="AB7" i="8"/>
  <c r="AD7" i="8" s="1"/>
  <c r="AE7" i="8"/>
  <c r="AJ6" i="8"/>
  <c r="U6" i="8"/>
  <c r="W6" i="8" s="1"/>
  <c r="X6" i="8"/>
  <c r="V6" i="8"/>
  <c r="N28" i="8"/>
  <c r="P28" i="8" s="1"/>
  <c r="O28" i="8"/>
  <c r="Q28" i="8"/>
  <c r="G28" i="8"/>
  <c r="I28" i="8" s="1"/>
  <c r="H28" i="8"/>
  <c r="J28" i="8"/>
  <c r="U28" i="8"/>
  <c r="W28" i="8" s="1"/>
  <c r="V28" i="8"/>
  <c r="X28" i="8"/>
  <c r="AC14" i="8"/>
  <c r="V4" i="8"/>
  <c r="X4" i="8"/>
  <c r="AJ4" i="8"/>
  <c r="J6" i="8"/>
  <c r="H6" i="8"/>
  <c r="G6" i="8"/>
  <c r="I6" i="8" s="1"/>
  <c r="AC5" i="8"/>
  <c r="AH5" i="8" s="1"/>
  <c r="O5" i="8"/>
  <c r="X5" i="8"/>
  <c r="N36" i="8"/>
  <c r="P36" i="8" s="1"/>
  <c r="H36" i="8"/>
  <c r="M36" i="8" s="1"/>
  <c r="N8" i="8"/>
  <c r="P8" i="8" s="1"/>
  <c r="J8" i="8"/>
  <c r="X8" i="8"/>
  <c r="U8" i="8"/>
  <c r="W8" i="8" s="1"/>
  <c r="Q8" i="8"/>
  <c r="G8" i="8"/>
  <c r="I8" i="8" s="1"/>
  <c r="V8" i="8"/>
  <c r="H8" i="8"/>
  <c r="AC8" i="8"/>
  <c r="AB8" i="8"/>
  <c r="AD8" i="8" s="1"/>
  <c r="AE8" i="8"/>
  <c r="O8" i="8"/>
  <c r="AC9" i="8"/>
  <c r="H9" i="8"/>
  <c r="U58" i="25" l="1"/>
  <c r="W58" i="25" s="1"/>
  <c r="L58" i="25"/>
  <c r="N58" i="25"/>
  <c r="P58" i="25" s="1"/>
  <c r="AG58" i="25"/>
  <c r="O58" i="25"/>
  <c r="J58" i="25"/>
  <c r="AC58" i="25"/>
  <c r="S58" i="25"/>
  <c r="V58" i="25"/>
  <c r="AA58" i="25" s="1"/>
  <c r="Z58" i="25"/>
  <c r="Q58" i="25"/>
  <c r="AE58" i="25"/>
  <c r="AB58" i="25"/>
  <c r="AD58" i="25" s="1"/>
  <c r="G58" i="25"/>
  <c r="I58" i="25" s="1"/>
  <c r="M58" i="25" s="1"/>
  <c r="R58" i="25"/>
  <c r="K58" i="25"/>
  <c r="X58" i="25"/>
  <c r="G64" i="32"/>
  <c r="B56" i="25"/>
  <c r="F56" i="25"/>
  <c r="AB56" i="25" s="1"/>
  <c r="F64" i="32"/>
  <c r="G60" i="32"/>
  <c r="E60" i="32"/>
  <c r="F60" i="32"/>
  <c r="AG38" i="25"/>
  <c r="T55" i="25"/>
  <c r="K7" i="25"/>
  <c r="AG7" i="25"/>
  <c r="N54" i="25"/>
  <c r="P54" i="25" s="1"/>
  <c r="H7" i="25"/>
  <c r="N7" i="25"/>
  <c r="P7" i="25" s="1"/>
  <c r="G7" i="25"/>
  <c r="I7" i="25" s="1"/>
  <c r="Z17" i="25"/>
  <c r="Y17" i="25"/>
  <c r="AB59" i="25"/>
  <c r="AD59" i="25" s="1"/>
  <c r="Q59" i="25"/>
  <c r="AC59" i="25"/>
  <c r="U59" i="25"/>
  <c r="W59" i="25" s="1"/>
  <c r="V59" i="25"/>
  <c r="O59" i="25"/>
  <c r="G59" i="25"/>
  <c r="I59" i="25" s="1"/>
  <c r="J59" i="25"/>
  <c r="X59" i="25"/>
  <c r="AE59" i="25"/>
  <c r="N59" i="25"/>
  <c r="P59" i="25" s="1"/>
  <c r="H59" i="25"/>
  <c r="Y59" i="25"/>
  <c r="T89" i="25"/>
  <c r="AF59" i="25"/>
  <c r="G17" i="25"/>
  <c r="I17" i="25" s="1"/>
  <c r="S59" i="25"/>
  <c r="AE7" i="25"/>
  <c r="O7" i="25"/>
  <c r="Q7" i="25"/>
  <c r="J7" i="25"/>
  <c r="AC7" i="25"/>
  <c r="AB7" i="25"/>
  <c r="AD7" i="25" s="1"/>
  <c r="AB54" i="25"/>
  <c r="AD54" i="25" s="1"/>
  <c r="Z54" i="25"/>
  <c r="G54" i="25"/>
  <c r="I54" i="25" s="1"/>
  <c r="S54" i="25"/>
  <c r="U54" i="25"/>
  <c r="W54" i="25" s="1"/>
  <c r="AG54" i="25"/>
  <c r="Z59" i="25"/>
  <c r="AG59" i="25"/>
  <c r="AF7" i="25"/>
  <c r="R7" i="25"/>
  <c r="AF54" i="25"/>
  <c r="AE54" i="25"/>
  <c r="L54" i="25"/>
  <c r="H54" i="25"/>
  <c r="X54" i="25"/>
  <c r="O54" i="25"/>
  <c r="AC54" i="25"/>
  <c r="Y54" i="25"/>
  <c r="Q54" i="25"/>
  <c r="R54" i="25"/>
  <c r="J54" i="25"/>
  <c r="V54" i="25"/>
  <c r="M65" i="25"/>
  <c r="L7" i="25"/>
  <c r="W116" i="25"/>
  <c r="Z116" i="25"/>
  <c r="N116" i="25"/>
  <c r="P116" i="25" s="1"/>
  <c r="AF116" i="25"/>
  <c r="G116" i="25"/>
  <c r="I116" i="25" s="1"/>
  <c r="X116" i="25"/>
  <c r="Q116" i="25"/>
  <c r="O116" i="25"/>
  <c r="R116" i="25"/>
  <c r="Y116" i="25"/>
  <c r="V116" i="25"/>
  <c r="L116" i="25"/>
  <c r="S116" i="25"/>
  <c r="AG116" i="25"/>
  <c r="AB116" i="25"/>
  <c r="AD116" i="25" s="1"/>
  <c r="K116" i="25"/>
  <c r="S138" i="25"/>
  <c r="U138" i="25"/>
  <c r="W138" i="25" s="1"/>
  <c r="U5" i="25"/>
  <c r="W5" i="25" s="1"/>
  <c r="V7" i="25"/>
  <c r="O138" i="25"/>
  <c r="M87" i="25"/>
  <c r="U7" i="25"/>
  <c r="W7" i="25" s="1"/>
  <c r="X7" i="25"/>
  <c r="Z14" i="25"/>
  <c r="Y19" i="25"/>
  <c r="H36" i="25"/>
  <c r="AC36" i="25"/>
  <c r="G36" i="25"/>
  <c r="I36" i="25" s="1"/>
  <c r="AC138" i="25"/>
  <c r="AC116" i="25"/>
  <c r="K36" i="25"/>
  <c r="L36" i="25"/>
  <c r="J36" i="25"/>
  <c r="V5" i="25"/>
  <c r="AA5" i="25" s="1"/>
  <c r="X5" i="25"/>
  <c r="AE116" i="25"/>
  <c r="V138" i="25"/>
  <c r="H116" i="25"/>
  <c r="AB138" i="25"/>
  <c r="AD138" i="25" s="1"/>
  <c r="J116" i="25"/>
  <c r="N138" i="25"/>
  <c r="P138" i="25" s="1"/>
  <c r="J138" i="25"/>
  <c r="AG39" i="25"/>
  <c r="Z78" i="25"/>
  <c r="Q78" i="25"/>
  <c r="L17" i="25"/>
  <c r="Z39" i="25"/>
  <c r="R39" i="25"/>
  <c r="S39" i="25"/>
  <c r="AF39" i="25"/>
  <c r="Y34" i="25"/>
  <c r="K17" i="25"/>
  <c r="Z5" i="25"/>
  <c r="Z19" i="25"/>
  <c r="S9" i="25"/>
  <c r="AF9" i="25"/>
  <c r="H138" i="25"/>
  <c r="Z138" i="25"/>
  <c r="Z140" i="25" s="1"/>
  <c r="AP136" i="25" s="1"/>
  <c r="Y138" i="25"/>
  <c r="H78" i="25"/>
  <c r="G78" i="25"/>
  <c r="I78" i="25" s="1"/>
  <c r="AA69" i="25"/>
  <c r="Q138" i="25"/>
  <c r="L138" i="25"/>
  <c r="K78" i="25"/>
  <c r="R138" i="25"/>
  <c r="G138" i="25"/>
  <c r="I138" i="25" s="1"/>
  <c r="AH5" i="25"/>
  <c r="X138" i="25"/>
  <c r="K138" i="25"/>
  <c r="T5" i="25"/>
  <c r="AG138" i="25"/>
  <c r="AE138" i="25"/>
  <c r="R9" i="25"/>
  <c r="K19" i="25"/>
  <c r="L19" i="25"/>
  <c r="AF19" i="25"/>
  <c r="R19" i="25"/>
  <c r="AG19" i="25"/>
  <c r="S19" i="25"/>
  <c r="S17" i="25"/>
  <c r="R17" i="25"/>
  <c r="AJ6" i="25"/>
  <c r="Y9" i="25"/>
  <c r="Z7" i="25"/>
  <c r="Z9" i="25"/>
  <c r="Y7" i="25"/>
  <c r="Y39" i="25"/>
  <c r="Z37" i="25"/>
  <c r="Y35" i="25"/>
  <c r="L27" i="25"/>
  <c r="K27" i="25"/>
  <c r="Z27" i="25"/>
  <c r="R27" i="25"/>
  <c r="S27" i="25"/>
  <c r="Y27" i="25"/>
  <c r="Y37" i="25"/>
  <c r="Z34" i="25"/>
  <c r="Z35" i="25"/>
  <c r="S57" i="25"/>
  <c r="AB57" i="25"/>
  <c r="AD57" i="25" s="1"/>
  <c r="K57" i="25"/>
  <c r="Z57" i="25"/>
  <c r="Y57" i="25"/>
  <c r="L57" i="25"/>
  <c r="AF69" i="25"/>
  <c r="AF67" i="25"/>
  <c r="AG69" i="25"/>
  <c r="AF65" i="25"/>
  <c r="AG65" i="25"/>
  <c r="G75" i="32"/>
  <c r="F75" i="32"/>
  <c r="AA89" i="25"/>
  <c r="L78" i="25"/>
  <c r="AC78" i="25"/>
  <c r="V78" i="25"/>
  <c r="S78" i="25"/>
  <c r="J78" i="25"/>
  <c r="Y78" i="25"/>
  <c r="AB78" i="25"/>
  <c r="AD78" i="25" s="1"/>
  <c r="O78" i="25"/>
  <c r="T78" i="25" s="1"/>
  <c r="X78" i="25"/>
  <c r="AE78" i="25"/>
  <c r="AG78" i="25"/>
  <c r="U78" i="25"/>
  <c r="W78" i="25" s="1"/>
  <c r="AF78" i="25"/>
  <c r="L136" i="25"/>
  <c r="AH29" i="25"/>
  <c r="R78" i="25"/>
  <c r="Y98" i="25"/>
  <c r="Y136" i="25"/>
  <c r="K136" i="25"/>
  <c r="S136" i="25"/>
  <c r="G136" i="25"/>
  <c r="I136" i="25" s="1"/>
  <c r="AF136" i="25"/>
  <c r="AF140" i="25" s="1"/>
  <c r="AO137" i="25" s="1"/>
  <c r="U98" i="25"/>
  <c r="W98" i="25" s="1"/>
  <c r="Q98" i="25"/>
  <c r="AF96" i="25"/>
  <c r="H96" i="25"/>
  <c r="Y96" i="25"/>
  <c r="N96" i="25"/>
  <c r="P96" i="25" s="1"/>
  <c r="L96" i="25"/>
  <c r="AH129" i="25"/>
  <c r="AG96" i="25"/>
  <c r="J96" i="25"/>
  <c r="AE96" i="25"/>
  <c r="V96" i="25"/>
  <c r="O96" i="25"/>
  <c r="U96" i="25"/>
  <c r="W96" i="25" s="1"/>
  <c r="K96" i="25"/>
  <c r="R96" i="25"/>
  <c r="AC96" i="25"/>
  <c r="Z96" i="25"/>
  <c r="X96" i="25"/>
  <c r="G96" i="25"/>
  <c r="I96" i="25" s="1"/>
  <c r="Q96" i="25"/>
  <c r="AB96" i="25"/>
  <c r="AD96" i="25" s="1"/>
  <c r="AD100" i="25" s="1"/>
  <c r="AM97" i="25" s="1"/>
  <c r="S96" i="25"/>
  <c r="T104" i="25"/>
  <c r="AA104" i="25"/>
  <c r="AC128" i="25"/>
  <c r="AC130" i="25" s="1"/>
  <c r="AL127" i="25" s="1"/>
  <c r="L128" i="25"/>
  <c r="L130" i="25" s="1"/>
  <c r="AP124" i="25" s="1"/>
  <c r="AB128" i="25"/>
  <c r="AD128" i="25" s="1"/>
  <c r="AD130" i="25" s="1"/>
  <c r="AM127" i="25" s="1"/>
  <c r="M127" i="25"/>
  <c r="AE128" i="25"/>
  <c r="AE130" i="25" s="1"/>
  <c r="AN127" i="25" s="1"/>
  <c r="N128" i="25"/>
  <c r="P128" i="25" s="1"/>
  <c r="P130" i="25" s="1"/>
  <c r="AM125" i="25" s="1"/>
  <c r="U128" i="25"/>
  <c r="U130" i="25" s="1"/>
  <c r="AK126" i="25" s="1"/>
  <c r="H128" i="25"/>
  <c r="Y128" i="25"/>
  <c r="Y130" i="25" s="1"/>
  <c r="AO126" i="25" s="1"/>
  <c r="O128" i="25"/>
  <c r="O130" i="25" s="1"/>
  <c r="AL125" i="25" s="1"/>
  <c r="S128" i="25"/>
  <c r="S130" i="25" s="1"/>
  <c r="AP125" i="25" s="1"/>
  <c r="Q128" i="25"/>
  <c r="Q130" i="25" s="1"/>
  <c r="AN125" i="25" s="1"/>
  <c r="AG128" i="25"/>
  <c r="AG130" i="25" s="1"/>
  <c r="AP127" i="25" s="1"/>
  <c r="R128" i="25"/>
  <c r="R130" i="25" s="1"/>
  <c r="AO125" i="25" s="1"/>
  <c r="X128" i="25"/>
  <c r="X130" i="25" s="1"/>
  <c r="AN126" i="25" s="1"/>
  <c r="G128" i="25"/>
  <c r="I128" i="25" s="1"/>
  <c r="I130" i="25" s="1"/>
  <c r="AM124" i="25" s="1"/>
  <c r="AF128" i="25"/>
  <c r="AF130" i="25" s="1"/>
  <c r="AO127" i="25" s="1"/>
  <c r="V128" i="25"/>
  <c r="V130" i="25" s="1"/>
  <c r="AL126" i="25" s="1"/>
  <c r="J128" i="25"/>
  <c r="J130" i="25" s="1"/>
  <c r="AN124" i="25" s="1"/>
  <c r="Z128" i="25"/>
  <c r="Z130" i="25" s="1"/>
  <c r="AP126" i="25" s="1"/>
  <c r="H136" i="25"/>
  <c r="AH117" i="25"/>
  <c r="J136" i="25"/>
  <c r="AC136" i="25"/>
  <c r="M124" i="25"/>
  <c r="D68" i="25"/>
  <c r="D75" i="32"/>
  <c r="B68" i="25"/>
  <c r="E73" i="32"/>
  <c r="N36" i="25"/>
  <c r="P36" i="25" s="1"/>
  <c r="F28" i="32"/>
  <c r="E28" i="32"/>
  <c r="D26" i="25"/>
  <c r="G28" i="32"/>
  <c r="B26" i="25"/>
  <c r="F26" i="25"/>
  <c r="C32" i="32"/>
  <c r="AH34" i="25"/>
  <c r="T44" i="25"/>
  <c r="X46" i="25"/>
  <c r="X50" i="25" s="1"/>
  <c r="AN46" i="25" s="1"/>
  <c r="AC38" i="25"/>
  <c r="AE38" i="25"/>
  <c r="M114" i="25"/>
  <c r="AA127" i="25"/>
  <c r="M5" i="25"/>
  <c r="AB38" i="25"/>
  <c r="AD38" i="25" s="1"/>
  <c r="G38" i="25"/>
  <c r="I38" i="25" s="1"/>
  <c r="G46" i="25"/>
  <c r="I46" i="25" s="1"/>
  <c r="Y38" i="25"/>
  <c r="O38" i="25"/>
  <c r="AB65" i="25"/>
  <c r="AD65" i="25" s="1"/>
  <c r="Q46" i="25"/>
  <c r="Q50" i="25" s="1"/>
  <c r="AN45" i="25" s="1"/>
  <c r="S38" i="25"/>
  <c r="AF38" i="25"/>
  <c r="L38" i="25"/>
  <c r="H38" i="25"/>
  <c r="V46" i="25"/>
  <c r="V50" i="25" s="1"/>
  <c r="AL46" i="25" s="1"/>
  <c r="K38" i="25"/>
  <c r="J38" i="25"/>
  <c r="Q38" i="25"/>
  <c r="N38" i="25"/>
  <c r="P38" i="25" s="1"/>
  <c r="U46" i="25"/>
  <c r="W46" i="25" s="1"/>
  <c r="W50" i="25" s="1"/>
  <c r="AM46" i="25" s="1"/>
  <c r="R38" i="25"/>
  <c r="R98" i="25"/>
  <c r="H98" i="25"/>
  <c r="AC98" i="25"/>
  <c r="AH98" i="25" s="1"/>
  <c r="S98" i="25"/>
  <c r="G98" i="25"/>
  <c r="I98" i="25" s="1"/>
  <c r="Z98" i="25"/>
  <c r="X98" i="25"/>
  <c r="AG98" i="25"/>
  <c r="O98" i="25"/>
  <c r="AF98" i="25"/>
  <c r="J98" i="25"/>
  <c r="L98" i="25"/>
  <c r="K98" i="25"/>
  <c r="AE98" i="25"/>
  <c r="N98" i="25"/>
  <c r="P98" i="25" s="1"/>
  <c r="V98" i="25"/>
  <c r="R160" i="25"/>
  <c r="AO155" i="25" s="1"/>
  <c r="AH114" i="25"/>
  <c r="AH127" i="25"/>
  <c r="T139" i="25"/>
  <c r="M129" i="25"/>
  <c r="T127" i="25"/>
  <c r="AC69" i="25"/>
  <c r="AJ67" i="25"/>
  <c r="N46" i="25"/>
  <c r="P46" i="25" s="1"/>
  <c r="P50" i="25" s="1"/>
  <c r="AM45" i="25" s="1"/>
  <c r="AF46" i="25"/>
  <c r="AF50" i="25" s="1"/>
  <c r="AO47" i="25" s="1"/>
  <c r="Y46" i="25"/>
  <c r="Y50" i="25" s="1"/>
  <c r="AO46" i="25" s="1"/>
  <c r="AB69" i="25"/>
  <c r="AD69" i="25" s="1"/>
  <c r="H46" i="25"/>
  <c r="H50" i="25" s="1"/>
  <c r="AL44" i="25" s="1"/>
  <c r="R46" i="25"/>
  <c r="R50" i="25" s="1"/>
  <c r="AO45" i="25" s="1"/>
  <c r="Z46" i="25"/>
  <c r="Z50" i="25" s="1"/>
  <c r="AP46" i="25" s="1"/>
  <c r="AE46" i="25"/>
  <c r="AE50" i="25" s="1"/>
  <c r="AN47" i="25" s="1"/>
  <c r="AE65" i="25"/>
  <c r="K46" i="25"/>
  <c r="K50" i="25" s="1"/>
  <c r="AO44" i="25" s="1"/>
  <c r="AG46" i="25"/>
  <c r="AG50" i="25" s="1"/>
  <c r="AP47" i="25" s="1"/>
  <c r="T29" i="25"/>
  <c r="AB46" i="25"/>
  <c r="AD46" i="25" s="1"/>
  <c r="AD50" i="25" s="1"/>
  <c r="AM47" i="25" s="1"/>
  <c r="AC46" i="25"/>
  <c r="AC50" i="25" s="1"/>
  <c r="AL47" i="25" s="1"/>
  <c r="AB67" i="25"/>
  <c r="AD67" i="25" s="1"/>
  <c r="AC65" i="25"/>
  <c r="J46" i="25"/>
  <c r="J50" i="25" s="1"/>
  <c r="AN44" i="25" s="1"/>
  <c r="O46" i="25"/>
  <c r="O50" i="25" s="1"/>
  <c r="AL45" i="25" s="1"/>
  <c r="AE67" i="25"/>
  <c r="AC67" i="25"/>
  <c r="AE69" i="25"/>
  <c r="L46" i="25"/>
  <c r="L50" i="25" s="1"/>
  <c r="AP44" i="25" s="1"/>
  <c r="AA124" i="25"/>
  <c r="L76" i="25"/>
  <c r="Z38" i="25"/>
  <c r="G73" i="32"/>
  <c r="AH47" i="25"/>
  <c r="M67" i="25"/>
  <c r="AA48" i="25"/>
  <c r="S50" i="25"/>
  <c r="AP45" i="25" s="1"/>
  <c r="AA45" i="25"/>
  <c r="V136" i="25"/>
  <c r="AF160" i="25"/>
  <c r="AO157" i="25" s="1"/>
  <c r="X136" i="25"/>
  <c r="Q136" i="25"/>
  <c r="N136" i="25"/>
  <c r="P136" i="25" s="1"/>
  <c r="AG136" i="25"/>
  <c r="AE136" i="25"/>
  <c r="AB136" i="25"/>
  <c r="AD136" i="25" s="1"/>
  <c r="Q36" i="25"/>
  <c r="O136" i="25"/>
  <c r="R136" i="25"/>
  <c r="R36" i="25"/>
  <c r="O36" i="25"/>
  <c r="Z36" i="25"/>
  <c r="S36" i="25"/>
  <c r="AF36" i="25"/>
  <c r="AB36" i="25"/>
  <c r="AD36" i="25" s="1"/>
  <c r="Y36" i="25"/>
  <c r="U136" i="25"/>
  <c r="W136" i="25" s="1"/>
  <c r="AE36" i="25"/>
  <c r="L24" i="25"/>
  <c r="AB24" i="25"/>
  <c r="AD24" i="25" s="1"/>
  <c r="Q24" i="25"/>
  <c r="N24" i="25"/>
  <c r="P24" i="25" s="1"/>
  <c r="V24" i="25"/>
  <c r="K24" i="25"/>
  <c r="R24" i="25"/>
  <c r="S24" i="25"/>
  <c r="O24" i="25"/>
  <c r="U24" i="25"/>
  <c r="W24" i="25" s="1"/>
  <c r="H24" i="25"/>
  <c r="Y24" i="25"/>
  <c r="AG24" i="25"/>
  <c r="G24" i="25"/>
  <c r="I24" i="25" s="1"/>
  <c r="J24" i="25"/>
  <c r="X24" i="25"/>
  <c r="AE24" i="25"/>
  <c r="AF24" i="25"/>
  <c r="Z24" i="25"/>
  <c r="AC24" i="25"/>
  <c r="AB39" i="25"/>
  <c r="AD39" i="25" s="1"/>
  <c r="M139" i="25"/>
  <c r="F32" i="32"/>
  <c r="G32" i="32"/>
  <c r="F28" i="25"/>
  <c r="B28" i="25"/>
  <c r="D32" i="32"/>
  <c r="E30" i="32"/>
  <c r="G30" i="32"/>
  <c r="F30" i="32"/>
  <c r="L160" i="25"/>
  <c r="AP154" i="25" s="1"/>
  <c r="AB76" i="25"/>
  <c r="AH15" i="25"/>
  <c r="AH139" i="25"/>
  <c r="T156" i="25"/>
  <c r="AA94" i="25"/>
  <c r="M156" i="25"/>
  <c r="T114" i="25"/>
  <c r="Y160" i="25"/>
  <c r="AO156" i="25" s="1"/>
  <c r="AH94" i="25"/>
  <c r="AA114" i="25"/>
  <c r="T15" i="25"/>
  <c r="AA139" i="25"/>
  <c r="AG76" i="25"/>
  <c r="AA49" i="25"/>
  <c r="T67" i="25"/>
  <c r="AH74" i="25"/>
  <c r="AH49" i="25"/>
  <c r="AA129" i="25"/>
  <c r="AA47" i="25"/>
  <c r="AA65" i="25"/>
  <c r="AB64" i="25"/>
  <c r="AD64" i="25" s="1"/>
  <c r="T129" i="25"/>
  <c r="V57" i="25"/>
  <c r="N57" i="25"/>
  <c r="P57" i="25" s="1"/>
  <c r="AC57" i="25"/>
  <c r="T94" i="25"/>
  <c r="M74" i="25"/>
  <c r="AG160" i="25"/>
  <c r="AP157" i="25" s="1"/>
  <c r="M55" i="25"/>
  <c r="Q57" i="25"/>
  <c r="U57" i="25"/>
  <c r="W57" i="25" s="1"/>
  <c r="O57" i="25"/>
  <c r="G57" i="25"/>
  <c r="I57" i="25" s="1"/>
  <c r="Z160" i="25"/>
  <c r="AP156" i="25" s="1"/>
  <c r="X57" i="25"/>
  <c r="AH97" i="25"/>
  <c r="AE57" i="25"/>
  <c r="K160" i="25"/>
  <c r="AO154" i="25" s="1"/>
  <c r="M97" i="25"/>
  <c r="H57" i="25"/>
  <c r="AH99" i="25"/>
  <c r="S160" i="25"/>
  <c r="AP155" i="25" s="1"/>
  <c r="F68" i="25"/>
  <c r="T65" i="25"/>
  <c r="X90" i="25"/>
  <c r="AN86" i="25" s="1"/>
  <c r="T47" i="25"/>
  <c r="U17" i="25"/>
  <c r="W17" i="25" s="1"/>
  <c r="J39" i="25"/>
  <c r="K76" i="25"/>
  <c r="AC39" i="25"/>
  <c r="H39" i="25"/>
  <c r="AF76" i="25"/>
  <c r="N76" i="25"/>
  <c r="P76" i="25" s="1"/>
  <c r="P80" i="25" s="1"/>
  <c r="AM75" i="25" s="1"/>
  <c r="Q39" i="25"/>
  <c r="O39" i="25"/>
  <c r="U76" i="25"/>
  <c r="W76" i="25" s="1"/>
  <c r="G76" i="25"/>
  <c r="I76" i="25" s="1"/>
  <c r="V17" i="25"/>
  <c r="G39" i="25"/>
  <c r="I39" i="25" s="1"/>
  <c r="X17" i="25"/>
  <c r="Q76" i="25"/>
  <c r="J57" i="25"/>
  <c r="AE39" i="25"/>
  <c r="Z76" i="25"/>
  <c r="O17" i="25"/>
  <c r="J17" i="25"/>
  <c r="AE17" i="25"/>
  <c r="AC17" i="25"/>
  <c r="N17" i="25"/>
  <c r="P17" i="25" s="1"/>
  <c r="AB17" i="25"/>
  <c r="AD17" i="25" s="1"/>
  <c r="U64" i="25"/>
  <c r="W64" i="25" s="1"/>
  <c r="F73" i="32"/>
  <c r="AA67" i="25"/>
  <c r="N64" i="25"/>
  <c r="P64" i="25" s="1"/>
  <c r="M15" i="25"/>
  <c r="V19" i="25"/>
  <c r="T77" i="25"/>
  <c r="H17" i="25"/>
  <c r="X19" i="25"/>
  <c r="U19" i="25"/>
  <c r="W19" i="25" s="1"/>
  <c r="H19" i="25"/>
  <c r="T49" i="25"/>
  <c r="AA97" i="25"/>
  <c r="AA119" i="25"/>
  <c r="X39" i="25"/>
  <c r="V39" i="25"/>
  <c r="X35" i="25"/>
  <c r="H76" i="25"/>
  <c r="J6" i="25"/>
  <c r="U36" i="25"/>
  <c r="W36" i="25" s="1"/>
  <c r="AA107" i="25"/>
  <c r="U37" i="25"/>
  <c r="W37" i="25" s="1"/>
  <c r="V38" i="25"/>
  <c r="X38" i="25"/>
  <c r="X37" i="25"/>
  <c r="X36" i="25"/>
  <c r="U39" i="25"/>
  <c r="W39" i="25" s="1"/>
  <c r="V36" i="25"/>
  <c r="V37" i="25"/>
  <c r="T109" i="25"/>
  <c r="AG64" i="25"/>
  <c r="AC64" i="25"/>
  <c r="AE64" i="25"/>
  <c r="V14" i="25"/>
  <c r="Y6" i="25"/>
  <c r="AA117" i="25"/>
  <c r="M107" i="25"/>
  <c r="T97" i="25"/>
  <c r="Y76" i="25"/>
  <c r="V76" i="25"/>
  <c r="L64" i="25"/>
  <c r="Q64" i="25"/>
  <c r="S64" i="25"/>
  <c r="X14" i="25"/>
  <c r="X76" i="25"/>
  <c r="AE76" i="25"/>
  <c r="J64" i="25"/>
  <c r="Y64" i="25"/>
  <c r="R64" i="25"/>
  <c r="V35" i="25"/>
  <c r="AA35" i="25" s="1"/>
  <c r="AC76" i="25"/>
  <c r="J76" i="25"/>
  <c r="K64" i="25"/>
  <c r="X64" i="25"/>
  <c r="V64" i="25"/>
  <c r="Y14" i="25"/>
  <c r="V6" i="25"/>
  <c r="AA87" i="25"/>
  <c r="AA29" i="25"/>
  <c r="H64" i="25"/>
  <c r="AF64" i="25"/>
  <c r="M117" i="25"/>
  <c r="G64" i="25"/>
  <c r="I64" i="25" s="1"/>
  <c r="Z64" i="25"/>
  <c r="O6" i="25"/>
  <c r="O64" i="25"/>
  <c r="U14" i="25"/>
  <c r="W14" i="25" s="1"/>
  <c r="G6" i="25"/>
  <c r="I6" i="25" s="1"/>
  <c r="AA115" i="25"/>
  <c r="G8" i="32"/>
  <c r="F8" i="32"/>
  <c r="B8" i="25"/>
  <c r="E8" i="32"/>
  <c r="F8" i="25"/>
  <c r="AC6" i="25"/>
  <c r="H6" i="25"/>
  <c r="T48" i="25"/>
  <c r="S76" i="25"/>
  <c r="R76" i="25"/>
  <c r="B18" i="25"/>
  <c r="F19" i="32"/>
  <c r="E19" i="32"/>
  <c r="G19" i="32"/>
  <c r="F18" i="25"/>
  <c r="D8" i="25"/>
  <c r="D10" i="32"/>
  <c r="M29" i="25"/>
  <c r="AE6" i="25"/>
  <c r="L6" i="25"/>
  <c r="M77" i="25"/>
  <c r="T107" i="25"/>
  <c r="G9" i="25"/>
  <c r="I9" i="25" s="1"/>
  <c r="V9" i="25"/>
  <c r="AB9" i="25"/>
  <c r="AD9" i="25" s="1"/>
  <c r="Q9" i="25"/>
  <c r="H9" i="25"/>
  <c r="U9" i="25"/>
  <c r="W9" i="25" s="1"/>
  <c r="N9" i="25"/>
  <c r="P9" i="25" s="1"/>
  <c r="O9" i="25"/>
  <c r="X9" i="25"/>
  <c r="AC9" i="25"/>
  <c r="AE9" i="25"/>
  <c r="J9" i="25"/>
  <c r="K14" i="25"/>
  <c r="O14" i="25"/>
  <c r="H14" i="25"/>
  <c r="AC14" i="25"/>
  <c r="AG14" i="25"/>
  <c r="AE14" i="25"/>
  <c r="R14" i="25"/>
  <c r="AF14" i="25"/>
  <c r="J14" i="25"/>
  <c r="Q14" i="25"/>
  <c r="G14" i="25"/>
  <c r="I14" i="25" s="1"/>
  <c r="N14" i="25"/>
  <c r="P14" i="25" s="1"/>
  <c r="S14" i="25"/>
  <c r="AB14" i="25"/>
  <c r="AD14" i="25" s="1"/>
  <c r="L14" i="25"/>
  <c r="Z6" i="25"/>
  <c r="AG6" i="25"/>
  <c r="N6" i="25"/>
  <c r="P6" i="25" s="1"/>
  <c r="V118" i="25"/>
  <c r="U118" i="25"/>
  <c r="W118" i="25" s="1"/>
  <c r="AC118" i="25"/>
  <c r="X118" i="25"/>
  <c r="S118" i="25"/>
  <c r="L118" i="25"/>
  <c r="AF118" i="25"/>
  <c r="G118" i="25"/>
  <c r="I118" i="25" s="1"/>
  <c r="Y118" i="25"/>
  <c r="H118" i="25"/>
  <c r="AG118" i="25"/>
  <c r="R118" i="25"/>
  <c r="AE118" i="25"/>
  <c r="K118" i="25"/>
  <c r="Z118" i="25"/>
  <c r="O118" i="25"/>
  <c r="Q118" i="25"/>
  <c r="N118" i="25"/>
  <c r="P118" i="25" s="1"/>
  <c r="J118" i="25"/>
  <c r="AB118" i="25"/>
  <c r="AD118" i="25" s="1"/>
  <c r="K6" i="25"/>
  <c r="D16" i="25"/>
  <c r="G17" i="32"/>
  <c r="F17" i="32"/>
  <c r="E17" i="32"/>
  <c r="AA109" i="25"/>
  <c r="J19" i="25"/>
  <c r="AB19" i="25"/>
  <c r="AD19" i="25" s="1"/>
  <c r="N19" i="25"/>
  <c r="P19" i="25" s="1"/>
  <c r="AC19" i="25"/>
  <c r="G19" i="25"/>
  <c r="I19" i="25" s="1"/>
  <c r="O19" i="25"/>
  <c r="Q19" i="25"/>
  <c r="AE19" i="25"/>
  <c r="AA99" i="25"/>
  <c r="Y4" i="25"/>
  <c r="X4" i="25"/>
  <c r="G4" i="25"/>
  <c r="I4" i="25" s="1"/>
  <c r="U4" i="25"/>
  <c r="W4" i="25" s="1"/>
  <c r="Z4" i="25"/>
  <c r="AE4" i="25"/>
  <c r="AF4" i="25"/>
  <c r="AG4" i="25"/>
  <c r="H4" i="25"/>
  <c r="K4" i="25"/>
  <c r="O4" i="25"/>
  <c r="V4" i="25"/>
  <c r="S4" i="25"/>
  <c r="L4" i="25"/>
  <c r="AC4" i="25"/>
  <c r="N4" i="25"/>
  <c r="P4" i="25" s="1"/>
  <c r="Q4" i="25"/>
  <c r="R4" i="25"/>
  <c r="J4" i="25"/>
  <c r="AB4" i="25"/>
  <c r="AD4" i="25" s="1"/>
  <c r="F10" i="32"/>
  <c r="R6" i="25"/>
  <c r="U6" i="25"/>
  <c r="W6" i="25" s="1"/>
  <c r="B16" i="25"/>
  <c r="G21" i="32"/>
  <c r="F16" i="25"/>
  <c r="C21" i="32"/>
  <c r="F21" i="32"/>
  <c r="S108" i="25"/>
  <c r="S110" i="25" s="1"/>
  <c r="AP105" i="25" s="1"/>
  <c r="AC108" i="25"/>
  <c r="AC110" i="25" s="1"/>
  <c r="AL107" i="25" s="1"/>
  <c r="K108" i="25"/>
  <c r="K110" i="25" s="1"/>
  <c r="AO104" i="25" s="1"/>
  <c r="AF108" i="25"/>
  <c r="AF110" i="25" s="1"/>
  <c r="AO107" i="25" s="1"/>
  <c r="AG108" i="25"/>
  <c r="AG110" i="25" s="1"/>
  <c r="AP107" i="25" s="1"/>
  <c r="Y108" i="25"/>
  <c r="Y110" i="25" s="1"/>
  <c r="AO106" i="25" s="1"/>
  <c r="J108" i="25"/>
  <c r="J110" i="25" s="1"/>
  <c r="AN104" i="25" s="1"/>
  <c r="N108" i="25"/>
  <c r="P108" i="25" s="1"/>
  <c r="U108" i="25"/>
  <c r="W108" i="25" s="1"/>
  <c r="W110" i="25" s="1"/>
  <c r="AM106" i="25" s="1"/>
  <c r="V108" i="25"/>
  <c r="V110" i="25" s="1"/>
  <c r="AL106" i="25" s="1"/>
  <c r="O108" i="25"/>
  <c r="O110" i="25" s="1"/>
  <c r="AL105" i="25" s="1"/>
  <c r="H108" i="25"/>
  <c r="G108" i="25"/>
  <c r="I108" i="25" s="1"/>
  <c r="I110" i="25" s="1"/>
  <c r="AM104" i="25" s="1"/>
  <c r="AB108" i="25"/>
  <c r="AD108" i="25" s="1"/>
  <c r="AD110" i="25" s="1"/>
  <c r="AM107" i="25" s="1"/>
  <c r="Q108" i="25"/>
  <c r="Q110" i="25" s="1"/>
  <c r="AN105" i="25" s="1"/>
  <c r="Z108" i="25"/>
  <c r="Z110" i="25" s="1"/>
  <c r="AP106" i="25" s="1"/>
  <c r="AE108" i="25"/>
  <c r="AE110" i="25" s="1"/>
  <c r="AN107" i="25" s="1"/>
  <c r="X108" i="25"/>
  <c r="X110" i="25" s="1"/>
  <c r="AN106" i="25" s="1"/>
  <c r="R108" i="25"/>
  <c r="R110" i="25" s="1"/>
  <c r="AO105" i="25" s="1"/>
  <c r="L108" i="25"/>
  <c r="L110" i="25" s="1"/>
  <c r="AP104" i="25" s="1"/>
  <c r="AF6" i="25"/>
  <c r="AB6" i="25"/>
  <c r="AD6" i="25" s="1"/>
  <c r="Q6" i="25"/>
  <c r="AH77" i="25"/>
  <c r="G27" i="25"/>
  <c r="I27" i="25" s="1"/>
  <c r="V27" i="25"/>
  <c r="X27" i="25"/>
  <c r="N27" i="25"/>
  <c r="P27" i="25" s="1"/>
  <c r="U27" i="25"/>
  <c r="W27" i="25" s="1"/>
  <c r="H27" i="25"/>
  <c r="J27" i="25"/>
  <c r="AC27" i="25"/>
  <c r="AE27" i="25"/>
  <c r="O27" i="25"/>
  <c r="Q27" i="25"/>
  <c r="AB27" i="25"/>
  <c r="AD27" i="25" s="1"/>
  <c r="AH87" i="25"/>
  <c r="M109" i="25"/>
  <c r="AH35" i="25"/>
  <c r="AJ36" i="25"/>
  <c r="X34" i="25"/>
  <c r="V34" i="25"/>
  <c r="U34" i="25"/>
  <c r="W34" i="25" s="1"/>
  <c r="U38" i="25"/>
  <c r="W38" i="25" s="1"/>
  <c r="O76" i="25"/>
  <c r="G10" i="32"/>
  <c r="AF56" i="25"/>
  <c r="AE56" i="25"/>
  <c r="K56" i="25"/>
  <c r="AG56" i="25"/>
  <c r="Y56" i="25"/>
  <c r="L56" i="25"/>
  <c r="X6" i="25"/>
  <c r="S6" i="25"/>
  <c r="T87" i="25"/>
  <c r="D18" i="25"/>
  <c r="D21" i="32"/>
  <c r="T35" i="25"/>
  <c r="M99" i="25"/>
  <c r="T99" i="25"/>
  <c r="AH48" i="25"/>
  <c r="AE150" i="25"/>
  <c r="AN147" i="25" s="1"/>
  <c r="AF150" i="25"/>
  <c r="AO147" i="25" s="1"/>
  <c r="Q150" i="25"/>
  <c r="AN145" i="25" s="1"/>
  <c r="X150" i="25"/>
  <c r="AN146" i="25" s="1"/>
  <c r="AG150" i="25"/>
  <c r="AP147" i="25" s="1"/>
  <c r="M148" i="25"/>
  <c r="S150" i="25"/>
  <c r="AP145" i="25" s="1"/>
  <c r="AA148" i="25"/>
  <c r="J150" i="25"/>
  <c r="AN144" i="25" s="1"/>
  <c r="AC150" i="25"/>
  <c r="AL147" i="25" s="1"/>
  <c r="Z150" i="25"/>
  <c r="AP146" i="25" s="1"/>
  <c r="T148" i="25"/>
  <c r="R150" i="25"/>
  <c r="AO145" i="25" s="1"/>
  <c r="V150" i="25"/>
  <c r="AL146" i="25" s="1"/>
  <c r="AH148" i="25"/>
  <c r="K150" i="25"/>
  <c r="AO144" i="25" s="1"/>
  <c r="L150" i="25"/>
  <c r="AP144" i="25" s="1"/>
  <c r="M86" i="25"/>
  <c r="M9" i="8"/>
  <c r="H90" i="25"/>
  <c r="AL84" i="25" s="1"/>
  <c r="J90" i="25"/>
  <c r="AN84" i="25" s="1"/>
  <c r="Q90" i="25"/>
  <c r="AN85" i="25" s="1"/>
  <c r="K130" i="25"/>
  <c r="AO124" i="25" s="1"/>
  <c r="Y90" i="25"/>
  <c r="AO86" i="25" s="1"/>
  <c r="M126" i="25"/>
  <c r="J14" i="8"/>
  <c r="L90" i="25"/>
  <c r="AP84" i="25" s="1"/>
  <c r="W90" i="25"/>
  <c r="AM86" i="25" s="1"/>
  <c r="H19" i="8"/>
  <c r="AA86" i="25"/>
  <c r="T126" i="25"/>
  <c r="V90" i="25"/>
  <c r="AL86" i="25" s="1"/>
  <c r="AA126" i="25"/>
  <c r="AA159" i="25"/>
  <c r="AH126" i="25"/>
  <c r="K90" i="25"/>
  <c r="AO84" i="25" s="1"/>
  <c r="T159" i="25"/>
  <c r="T14" i="8"/>
  <c r="AC90" i="25"/>
  <c r="AL87" i="25" s="1"/>
  <c r="AF90" i="25"/>
  <c r="AO87" i="25" s="1"/>
  <c r="M159" i="25"/>
  <c r="M137" i="25"/>
  <c r="AA9" i="8"/>
  <c r="H16" i="8"/>
  <c r="J18" i="8"/>
  <c r="S90" i="25"/>
  <c r="AP85" i="25" s="1"/>
  <c r="J19" i="8"/>
  <c r="J16" i="8"/>
  <c r="G16" i="8"/>
  <c r="I16" i="8" s="1"/>
  <c r="H14" i="8"/>
  <c r="Z90" i="25"/>
  <c r="AP86" i="25" s="1"/>
  <c r="G18" i="8"/>
  <c r="I18" i="8" s="1"/>
  <c r="J17" i="8"/>
  <c r="G15" i="8"/>
  <c r="I15" i="8" s="1"/>
  <c r="G19" i="8"/>
  <c r="I19" i="8" s="1"/>
  <c r="H15" i="8"/>
  <c r="G14" i="8"/>
  <c r="I14" i="8" s="1"/>
  <c r="H17" i="8"/>
  <c r="J15" i="8"/>
  <c r="H18" i="8"/>
  <c r="G17" i="8"/>
  <c r="I17" i="8" s="1"/>
  <c r="AE90" i="25"/>
  <c r="AN87" i="25" s="1"/>
  <c r="AH86" i="25"/>
  <c r="AD90" i="25"/>
  <c r="AM87" i="25" s="1"/>
  <c r="O90" i="25"/>
  <c r="AL85" i="25" s="1"/>
  <c r="T86" i="25"/>
  <c r="AG90" i="25"/>
  <c r="AP87" i="25" s="1"/>
  <c r="M24" i="8"/>
  <c r="AH137" i="25"/>
  <c r="M34" i="8"/>
  <c r="AH34" i="8"/>
  <c r="R90" i="25"/>
  <c r="AO85" i="25" s="1"/>
  <c r="T19" i="8"/>
  <c r="AH38" i="8"/>
  <c r="T137" i="25"/>
  <c r="AA137" i="25"/>
  <c r="M38" i="8"/>
  <c r="M39" i="8"/>
  <c r="H160" i="25"/>
  <c r="AL154" i="25" s="1"/>
  <c r="AB90" i="25"/>
  <c r="AK87" i="25" s="1"/>
  <c r="N90" i="25"/>
  <c r="AK85" i="25" s="1"/>
  <c r="U18" i="8"/>
  <c r="W18" i="8" s="1"/>
  <c r="AA15" i="25"/>
  <c r="AH9" i="8"/>
  <c r="AH19" i="8"/>
  <c r="T9" i="8"/>
  <c r="AH156" i="25"/>
  <c r="T6" i="8"/>
  <c r="T5" i="8"/>
  <c r="G90" i="25"/>
  <c r="AK84" i="25" s="1"/>
  <c r="AH39" i="8"/>
  <c r="M26" i="8"/>
  <c r="X160" i="25"/>
  <c r="AN156" i="25" s="1"/>
  <c r="J160" i="25"/>
  <c r="AN154" i="25" s="1"/>
  <c r="I90" i="25"/>
  <c r="AM84" i="25" s="1"/>
  <c r="T157" i="25"/>
  <c r="H150" i="25"/>
  <c r="AL144" i="25" s="1"/>
  <c r="N150" i="25"/>
  <c r="AK145" i="25" s="1"/>
  <c r="P146" i="25"/>
  <c r="P150" i="25" s="1"/>
  <c r="AM145" i="25" s="1"/>
  <c r="T39" i="8"/>
  <c r="G150" i="25"/>
  <c r="AK144" i="25" s="1"/>
  <c r="I146" i="25"/>
  <c r="I150" i="25" s="1"/>
  <c r="AM144" i="25" s="1"/>
  <c r="AB150" i="25"/>
  <c r="AK147" i="25" s="1"/>
  <c r="AD146" i="25"/>
  <c r="T16" i="8"/>
  <c r="O150" i="25"/>
  <c r="AL145" i="25" s="1"/>
  <c r="U150" i="25"/>
  <c r="AK146" i="25" s="1"/>
  <c r="W146" i="25"/>
  <c r="T38" i="8"/>
  <c r="M4" i="8"/>
  <c r="V160" i="25"/>
  <c r="AL156" i="25" s="1"/>
  <c r="M47" i="25"/>
  <c r="T26" i="8"/>
  <c r="G160" i="25"/>
  <c r="AK154" i="25" s="1"/>
  <c r="AC160" i="25"/>
  <c r="AL157" i="25" s="1"/>
  <c r="P160" i="25"/>
  <c r="AM155" i="25" s="1"/>
  <c r="T158" i="25"/>
  <c r="U160" i="25"/>
  <c r="AK156" i="25" s="1"/>
  <c r="AA158" i="25"/>
  <c r="AB28" i="8"/>
  <c r="AD28" i="8" s="1"/>
  <c r="W160" i="25"/>
  <c r="AM156" i="25" s="1"/>
  <c r="Q160" i="25"/>
  <c r="AN155" i="25" s="1"/>
  <c r="T134" i="25"/>
  <c r="M45" i="25"/>
  <c r="M5" i="8"/>
  <c r="M88" i="25"/>
  <c r="AE160" i="25"/>
  <c r="AN157" i="25" s="1"/>
  <c r="O160" i="25"/>
  <c r="AL155" i="25" s="1"/>
  <c r="AA6" i="8"/>
  <c r="AA157" i="25"/>
  <c r="AH158" i="25"/>
  <c r="U30" i="8"/>
  <c r="AK26" i="8" s="1"/>
  <c r="AA29" i="8"/>
  <c r="AH157" i="25"/>
  <c r="T88" i="25"/>
  <c r="P90" i="25"/>
  <c r="AM85" i="25" s="1"/>
  <c r="AH44" i="25"/>
  <c r="M157" i="25"/>
  <c r="AA26" i="8"/>
  <c r="I44" i="25"/>
  <c r="L66" i="25"/>
  <c r="AE66" i="25"/>
  <c r="O66" i="25"/>
  <c r="K66" i="25"/>
  <c r="AB66" i="25"/>
  <c r="AD66" i="25" s="1"/>
  <c r="N66" i="25"/>
  <c r="P66" i="25" s="1"/>
  <c r="AF66" i="25"/>
  <c r="U66" i="25"/>
  <c r="W66" i="25" s="1"/>
  <c r="V66" i="25"/>
  <c r="X66" i="25"/>
  <c r="AG66" i="25"/>
  <c r="Z66" i="25"/>
  <c r="G66" i="25"/>
  <c r="I66" i="25" s="1"/>
  <c r="H66" i="25"/>
  <c r="S66" i="25"/>
  <c r="Q66" i="25"/>
  <c r="Y66" i="25"/>
  <c r="R66" i="25"/>
  <c r="J66" i="25"/>
  <c r="AC66" i="25"/>
  <c r="AB160" i="25"/>
  <c r="AK157" i="25" s="1"/>
  <c r="M94" i="25"/>
  <c r="M49" i="25"/>
  <c r="AA88" i="25"/>
  <c r="AH159" i="25"/>
  <c r="N160" i="25"/>
  <c r="AK155" i="25" s="1"/>
  <c r="AD160" i="25"/>
  <c r="AM157" i="25" s="1"/>
  <c r="U90" i="25"/>
  <c r="AK86" i="25" s="1"/>
  <c r="AH88" i="25"/>
  <c r="AH155" i="25"/>
  <c r="M48" i="25"/>
  <c r="M158" i="25"/>
  <c r="U35" i="8"/>
  <c r="W35" i="8" s="1"/>
  <c r="V17" i="8"/>
  <c r="AA154" i="25"/>
  <c r="M79" i="25"/>
  <c r="M89" i="25"/>
  <c r="P106" i="25"/>
  <c r="AH79" i="25"/>
  <c r="AA77" i="25"/>
  <c r="T37" i="8"/>
  <c r="AA79" i="25"/>
  <c r="B28" i="6"/>
  <c r="B26" i="20"/>
  <c r="M104" i="25"/>
  <c r="AH106" i="25"/>
  <c r="Q40" i="8"/>
  <c r="AN35" i="8" s="1"/>
  <c r="I160" i="25"/>
  <c r="AM154" i="25" s="1"/>
  <c r="Q7" i="10"/>
  <c r="B8" i="10"/>
  <c r="A22" i="19" s="1"/>
  <c r="B18" i="19"/>
  <c r="C8" i="10"/>
  <c r="AH37" i="25"/>
  <c r="AA134" i="25"/>
  <c r="AA44" i="25"/>
  <c r="T124" i="25"/>
  <c r="AA106" i="25"/>
  <c r="I34" i="25"/>
  <c r="AA27" i="8"/>
  <c r="M29" i="8"/>
  <c r="T74" i="25"/>
  <c r="T37" i="25"/>
  <c r="T34" i="25"/>
  <c r="M106" i="25"/>
  <c r="AH154" i="25"/>
  <c r="C27" i="3"/>
  <c r="Q26" i="3"/>
  <c r="R26" i="3" s="1"/>
  <c r="C10" i="1" s="1"/>
  <c r="B26" i="21"/>
  <c r="AE28" i="8"/>
  <c r="M37" i="25"/>
  <c r="W30" i="8"/>
  <c r="AM26" i="8" s="1"/>
  <c r="W74" i="25"/>
  <c r="AH134" i="25"/>
  <c r="AH104" i="25"/>
  <c r="M134" i="25"/>
  <c r="AH36" i="8"/>
  <c r="Q20" i="8"/>
  <c r="AN15" i="8" s="1"/>
  <c r="AC28" i="8"/>
  <c r="M35" i="25"/>
  <c r="AH124" i="25"/>
  <c r="V18" i="8"/>
  <c r="J40" i="8"/>
  <c r="AN34" i="8" s="1"/>
  <c r="X17" i="8"/>
  <c r="X15" i="8"/>
  <c r="T29" i="8"/>
  <c r="M7" i="8"/>
  <c r="X18" i="8"/>
  <c r="V35" i="8"/>
  <c r="AH16" i="8"/>
  <c r="AA5" i="8"/>
  <c r="U17" i="8"/>
  <c r="W17" i="8" s="1"/>
  <c r="T24" i="8"/>
  <c r="AH37" i="8"/>
  <c r="Q10" i="8"/>
  <c r="AN5" i="8" s="1"/>
  <c r="AB20" i="8"/>
  <c r="AK17" i="8" s="1"/>
  <c r="X30" i="8"/>
  <c r="AN26" i="8" s="1"/>
  <c r="H40" i="8"/>
  <c r="AL34" i="8" s="1"/>
  <c r="AE10" i="8"/>
  <c r="AN7" i="8" s="1"/>
  <c r="T8" i="8"/>
  <c r="H10" i="8"/>
  <c r="AL4" i="8" s="1"/>
  <c r="AA28" i="8"/>
  <c r="AH18" i="8"/>
  <c r="V30" i="8"/>
  <c r="AL26" i="8" s="1"/>
  <c r="T15" i="8"/>
  <c r="P10" i="8"/>
  <c r="AM5" i="8" s="1"/>
  <c r="AE20" i="8"/>
  <c r="AN17" i="8" s="1"/>
  <c r="AC20" i="8"/>
  <c r="AL17" i="8" s="1"/>
  <c r="AH14" i="8"/>
  <c r="O40" i="8"/>
  <c r="AL35" i="8" s="1"/>
  <c r="AA24" i="8"/>
  <c r="G10" i="8"/>
  <c r="AK4" i="8" s="1"/>
  <c r="O30" i="8"/>
  <c r="AL25" i="8" s="1"/>
  <c r="W10" i="8"/>
  <c r="AM6" i="8" s="1"/>
  <c r="AH8" i="8"/>
  <c r="M28" i="8"/>
  <c r="T28" i="8"/>
  <c r="AH7" i="8"/>
  <c r="AA7" i="8"/>
  <c r="AC40" i="8"/>
  <c r="AL37" i="8" s="1"/>
  <c r="AE40" i="8"/>
  <c r="AN37" i="8" s="1"/>
  <c r="AH6" i="8"/>
  <c r="I10" i="8"/>
  <c r="AM4" i="8" s="1"/>
  <c r="AD20" i="8"/>
  <c r="AM17" i="8" s="1"/>
  <c r="Q30" i="8"/>
  <c r="AN25" i="8" s="1"/>
  <c r="P25" i="8"/>
  <c r="P30" i="8" s="1"/>
  <c r="AM25" i="8" s="1"/>
  <c r="N30" i="8"/>
  <c r="AK25" i="8" s="1"/>
  <c r="AJ27" i="8"/>
  <c r="AC26" i="8"/>
  <c r="AC29" i="8"/>
  <c r="AC24" i="8"/>
  <c r="AE29" i="8"/>
  <c r="AE26" i="8"/>
  <c r="AB26" i="8"/>
  <c r="AD26" i="8" s="1"/>
  <c r="AE24" i="8"/>
  <c r="AB29" i="8"/>
  <c r="AD29" i="8" s="1"/>
  <c r="AB24" i="8"/>
  <c r="AB25" i="8"/>
  <c r="AD25" i="8" s="1"/>
  <c r="AC25" i="8"/>
  <c r="AE25" i="8"/>
  <c r="J10" i="8"/>
  <c r="AN4" i="8" s="1"/>
  <c r="AH15" i="8"/>
  <c r="U15" i="8"/>
  <c r="W15" i="8" s="1"/>
  <c r="AA15" i="8" s="1"/>
  <c r="AE27" i="8"/>
  <c r="AB27" i="8"/>
  <c r="AD27" i="8" s="1"/>
  <c r="AH27" i="8" s="1"/>
  <c r="M8" i="8"/>
  <c r="X10" i="8"/>
  <c r="AN6" i="8" s="1"/>
  <c r="G40" i="8"/>
  <c r="AK34" i="8" s="1"/>
  <c r="P20" i="8"/>
  <c r="AM15" i="8" s="1"/>
  <c r="AD35" i="8"/>
  <c r="AD40" i="8" s="1"/>
  <c r="AM37" i="8" s="1"/>
  <c r="AB40" i="8"/>
  <c r="AK37" i="8" s="1"/>
  <c r="T36" i="8"/>
  <c r="AD10" i="8"/>
  <c r="AM7" i="8" s="1"/>
  <c r="T17" i="8"/>
  <c r="O10" i="8"/>
  <c r="AL5" i="8" s="1"/>
  <c r="J30" i="8"/>
  <c r="AN24" i="8" s="1"/>
  <c r="AA25" i="8"/>
  <c r="AH4" i="8"/>
  <c r="AC10" i="8"/>
  <c r="AL7" i="8" s="1"/>
  <c r="O20" i="8"/>
  <c r="AL15" i="8" s="1"/>
  <c r="M27" i="8"/>
  <c r="T27" i="8"/>
  <c r="AA8" i="8"/>
  <c r="M6" i="8"/>
  <c r="V10" i="8"/>
  <c r="AL6" i="8" s="1"/>
  <c r="AA4" i="8"/>
  <c r="I40" i="8"/>
  <c r="AM34" i="8" s="1"/>
  <c r="N20" i="8"/>
  <c r="AK15" i="8" s="1"/>
  <c r="T7" i="8"/>
  <c r="T18" i="8"/>
  <c r="P35" i="8"/>
  <c r="P40" i="8" s="1"/>
  <c r="AM35" i="8" s="1"/>
  <c r="N40" i="8"/>
  <c r="AK35" i="8" s="1"/>
  <c r="M35" i="8"/>
  <c r="U36" i="8"/>
  <c r="W36" i="8" s="1"/>
  <c r="V36" i="8"/>
  <c r="AJ36" i="8"/>
  <c r="V37" i="8"/>
  <c r="U38" i="8"/>
  <c r="W38" i="8" s="1"/>
  <c r="U37" i="8"/>
  <c r="W37" i="8" s="1"/>
  <c r="X36" i="8"/>
  <c r="X37" i="8"/>
  <c r="V38" i="8"/>
  <c r="X38" i="8"/>
  <c r="V34" i="8"/>
  <c r="X34" i="8"/>
  <c r="U34" i="8"/>
  <c r="V39" i="8"/>
  <c r="U39" i="8"/>
  <c r="W39" i="8" s="1"/>
  <c r="X39" i="8"/>
  <c r="AB10" i="8"/>
  <c r="AK7" i="8" s="1"/>
  <c r="AH17" i="8"/>
  <c r="T4" i="8"/>
  <c r="G30" i="8"/>
  <c r="AK24" i="8" s="1"/>
  <c r="I25" i="8"/>
  <c r="I30" i="8" s="1"/>
  <c r="AM24" i="8" s="1"/>
  <c r="H30" i="8"/>
  <c r="AL24" i="8" s="1"/>
  <c r="N10" i="8"/>
  <c r="AK5" i="8" s="1"/>
  <c r="AJ16" i="8"/>
  <c r="V16" i="8"/>
  <c r="V14" i="8"/>
  <c r="X19" i="8"/>
  <c r="X14" i="8"/>
  <c r="U14" i="8"/>
  <c r="V19" i="8"/>
  <c r="U19" i="8"/>
  <c r="W19" i="8" s="1"/>
  <c r="U16" i="8"/>
  <c r="W16" i="8" s="1"/>
  <c r="X16" i="8"/>
  <c r="U10" i="8"/>
  <c r="AK6" i="8" s="1"/>
  <c r="T58" i="25" l="1"/>
  <c r="AH58" i="25"/>
  <c r="R56" i="25"/>
  <c r="R60" i="25" s="1"/>
  <c r="AO55" i="25" s="1"/>
  <c r="X56" i="25"/>
  <c r="X60" i="25" s="1"/>
  <c r="AN56" i="25" s="1"/>
  <c r="O56" i="25"/>
  <c r="O60" i="25" s="1"/>
  <c r="AL55" i="25" s="1"/>
  <c r="Q56" i="25"/>
  <c r="Q60" i="25" s="1"/>
  <c r="AN55" i="25" s="1"/>
  <c r="AD56" i="25"/>
  <c r="AD60" i="25" s="1"/>
  <c r="AM57" i="25" s="1"/>
  <c r="S56" i="25"/>
  <c r="S60" i="25" s="1"/>
  <c r="AP55" i="25" s="1"/>
  <c r="AC56" i="25"/>
  <c r="AC60" i="25" s="1"/>
  <c r="AL57" i="25" s="1"/>
  <c r="H56" i="25"/>
  <c r="H60" i="25" s="1"/>
  <c r="AL54" i="25" s="1"/>
  <c r="J56" i="25"/>
  <c r="J60" i="25" s="1"/>
  <c r="AN54" i="25" s="1"/>
  <c r="V56" i="25"/>
  <c r="V60" i="25" s="1"/>
  <c r="AL56" i="25" s="1"/>
  <c r="Z56" i="25"/>
  <c r="Z60" i="25" s="1"/>
  <c r="AP56" i="25" s="1"/>
  <c r="U56" i="25"/>
  <c r="W56" i="25" s="1"/>
  <c r="W60" i="25" s="1"/>
  <c r="AM56" i="25" s="1"/>
  <c r="N56" i="25"/>
  <c r="P56" i="25" s="1"/>
  <c r="G56" i="25"/>
  <c r="I56" i="25" s="1"/>
  <c r="I60" i="25" s="1"/>
  <c r="AM54" i="25" s="1"/>
  <c r="AG40" i="25"/>
  <c r="AP37" i="25" s="1"/>
  <c r="M7" i="25"/>
  <c r="T7" i="25"/>
  <c r="AA59" i="25"/>
  <c r="AH59" i="25"/>
  <c r="AH7" i="25"/>
  <c r="T59" i="25"/>
  <c r="AA36" i="25"/>
  <c r="M59" i="25"/>
  <c r="Z120" i="25"/>
  <c r="AP116" i="25" s="1"/>
  <c r="M17" i="25"/>
  <c r="AF60" i="25"/>
  <c r="AO57" i="25" s="1"/>
  <c r="W120" i="25"/>
  <c r="AM116" i="25" s="1"/>
  <c r="L120" i="25"/>
  <c r="AP114" i="25" s="1"/>
  <c r="AA54" i="25"/>
  <c r="Q120" i="25"/>
  <c r="AN115" i="25" s="1"/>
  <c r="AH54" i="25"/>
  <c r="AA116" i="25"/>
  <c r="AG60" i="25"/>
  <c r="AP57" i="25" s="1"/>
  <c r="V120" i="25"/>
  <c r="AL116" i="25" s="1"/>
  <c r="T54" i="25"/>
  <c r="AG140" i="25"/>
  <c r="AP137" i="25" s="1"/>
  <c r="M54" i="25"/>
  <c r="AF120" i="25"/>
  <c r="AO117" i="25" s="1"/>
  <c r="X120" i="25"/>
  <c r="AN116" i="25" s="1"/>
  <c r="AG120" i="25"/>
  <c r="AP117" i="25" s="1"/>
  <c r="T116" i="25"/>
  <c r="X140" i="25"/>
  <c r="AN136" i="25" s="1"/>
  <c r="R120" i="25"/>
  <c r="AO115" i="25" s="1"/>
  <c r="O120" i="25"/>
  <c r="AL115" i="25" s="1"/>
  <c r="K120" i="25"/>
  <c r="AO114" i="25" s="1"/>
  <c r="M36" i="25"/>
  <c r="Y120" i="25"/>
  <c r="AO116" i="25" s="1"/>
  <c r="AE120" i="25"/>
  <c r="AN117" i="25" s="1"/>
  <c r="S120" i="25"/>
  <c r="AP115" i="25" s="1"/>
  <c r="AG80" i="25"/>
  <c r="AP77" i="25" s="1"/>
  <c r="AH36" i="25"/>
  <c r="O140" i="25"/>
  <c r="AL135" i="25" s="1"/>
  <c r="AD120" i="25"/>
  <c r="AM117" i="25" s="1"/>
  <c r="AE140" i="25"/>
  <c r="AN137" i="25" s="1"/>
  <c r="AC140" i="25"/>
  <c r="AL137" i="25" s="1"/>
  <c r="AA7" i="25"/>
  <c r="L80" i="25"/>
  <c r="AP74" i="25" s="1"/>
  <c r="AH116" i="25"/>
  <c r="T138" i="25"/>
  <c r="P120" i="25"/>
  <c r="AM115" i="25" s="1"/>
  <c r="H120" i="25"/>
  <c r="AL114" i="25" s="1"/>
  <c r="X80" i="25"/>
  <c r="AN76" i="25" s="1"/>
  <c r="S140" i="25"/>
  <c r="AP135" i="25" s="1"/>
  <c r="G50" i="25"/>
  <c r="AK44" i="25" s="1"/>
  <c r="K40" i="25"/>
  <c r="AO34" i="25" s="1"/>
  <c r="M78" i="25"/>
  <c r="Y140" i="25"/>
  <c r="AO136" i="25" s="1"/>
  <c r="AH138" i="25"/>
  <c r="Q80" i="25"/>
  <c r="AN75" i="25" s="1"/>
  <c r="L40" i="25"/>
  <c r="AP34" i="25" s="1"/>
  <c r="J120" i="25"/>
  <c r="AN114" i="25" s="1"/>
  <c r="I80" i="25"/>
  <c r="AM74" i="25" s="1"/>
  <c r="AA78" i="25"/>
  <c r="M96" i="25"/>
  <c r="AA138" i="25"/>
  <c r="M116" i="25"/>
  <c r="Z80" i="25"/>
  <c r="AP76" i="25" s="1"/>
  <c r="Y68" i="25"/>
  <c r="Y70" i="25" s="1"/>
  <c r="AO66" i="25" s="1"/>
  <c r="W140" i="25"/>
  <c r="AM136" i="25" s="1"/>
  <c r="AE80" i="25"/>
  <c r="AN77" i="25" s="1"/>
  <c r="V140" i="25"/>
  <c r="AL136" i="25" s="1"/>
  <c r="AC120" i="25"/>
  <c r="AL117" i="25" s="1"/>
  <c r="AB130" i="25"/>
  <c r="AK127" i="25" s="1"/>
  <c r="J140" i="25"/>
  <c r="AN134" i="25" s="1"/>
  <c r="H80" i="25"/>
  <c r="AL74" i="25" s="1"/>
  <c r="P140" i="25"/>
  <c r="AM135" i="25" s="1"/>
  <c r="S80" i="25"/>
  <c r="AP75" i="25" s="1"/>
  <c r="I120" i="25"/>
  <c r="AM114" i="25" s="1"/>
  <c r="M138" i="25"/>
  <c r="K80" i="25"/>
  <c r="AO74" i="25" s="1"/>
  <c r="H140" i="25"/>
  <c r="AL134" i="25" s="1"/>
  <c r="L60" i="25"/>
  <c r="AP54" i="25" s="1"/>
  <c r="R140" i="25"/>
  <c r="AO135" i="25" s="1"/>
  <c r="Y60" i="25"/>
  <c r="AO56" i="25" s="1"/>
  <c r="AA57" i="25"/>
  <c r="Q140" i="25"/>
  <c r="AN135" i="25" s="1"/>
  <c r="K60" i="25"/>
  <c r="AO54" i="25" s="1"/>
  <c r="K140" i="25"/>
  <c r="AO134" i="25" s="1"/>
  <c r="T57" i="25"/>
  <c r="Y40" i="25"/>
  <c r="AO36" i="25" s="1"/>
  <c r="L140" i="25"/>
  <c r="AP134" i="25" s="1"/>
  <c r="AH57" i="25"/>
  <c r="S40" i="25"/>
  <c r="AP35" i="25" s="1"/>
  <c r="N50" i="25"/>
  <c r="AK45" i="25" s="1"/>
  <c r="AC100" i="25"/>
  <c r="AL97" i="25" s="1"/>
  <c r="AH78" i="25"/>
  <c r="M128" i="25"/>
  <c r="M130" i="25" s="1"/>
  <c r="AQ124" i="25" s="1"/>
  <c r="H130" i="25"/>
  <c r="AL124" i="25" s="1"/>
  <c r="AB80" i="25"/>
  <c r="AK77" i="25" s="1"/>
  <c r="U100" i="25"/>
  <c r="AK96" i="25" s="1"/>
  <c r="G130" i="25"/>
  <c r="AK124" i="25" s="1"/>
  <c r="J80" i="25"/>
  <c r="AN74" i="25" s="1"/>
  <c r="W100" i="25"/>
  <c r="AM96" i="25" s="1"/>
  <c r="Y100" i="25"/>
  <c r="AO96" i="25" s="1"/>
  <c r="V80" i="25"/>
  <c r="AL76" i="25" s="1"/>
  <c r="T96" i="25"/>
  <c r="J100" i="25"/>
  <c r="AN94" i="25" s="1"/>
  <c r="AF80" i="25"/>
  <c r="AO77" i="25" s="1"/>
  <c r="Y80" i="25"/>
  <c r="AO76" i="25" s="1"/>
  <c r="AB100" i="25"/>
  <c r="AK97" i="25" s="1"/>
  <c r="AA96" i="25"/>
  <c r="AH96" i="25"/>
  <c r="AH100" i="25" s="1"/>
  <c r="AQ97" i="25" s="1"/>
  <c r="P100" i="25"/>
  <c r="AM95" i="25" s="1"/>
  <c r="R80" i="25"/>
  <c r="AO75" i="25" s="1"/>
  <c r="L100" i="25"/>
  <c r="AP94" i="25" s="1"/>
  <c r="O100" i="25"/>
  <c r="AL95" i="25" s="1"/>
  <c r="G140" i="25"/>
  <c r="AK134" i="25" s="1"/>
  <c r="AH38" i="25"/>
  <c r="AH128" i="25"/>
  <c r="AH130" i="25" s="1"/>
  <c r="AQ127" i="25" s="1"/>
  <c r="Z100" i="25"/>
  <c r="AP96" i="25" s="1"/>
  <c r="Q100" i="25"/>
  <c r="AN95" i="25" s="1"/>
  <c r="Z40" i="25"/>
  <c r="AP36" i="25" s="1"/>
  <c r="S100" i="25"/>
  <c r="AP95" i="25" s="1"/>
  <c r="AF100" i="25"/>
  <c r="AO97" i="25" s="1"/>
  <c r="AA98" i="25"/>
  <c r="AG100" i="25"/>
  <c r="AP97" i="25" s="1"/>
  <c r="K100" i="25"/>
  <c r="AO94" i="25" s="1"/>
  <c r="I100" i="25"/>
  <c r="AM94" i="25" s="1"/>
  <c r="H100" i="25"/>
  <c r="AL94" i="25" s="1"/>
  <c r="AE100" i="25"/>
  <c r="AN97" i="25" s="1"/>
  <c r="M136" i="25"/>
  <c r="R100" i="25"/>
  <c r="AO95" i="25" s="1"/>
  <c r="X100" i="25"/>
  <c r="AN96" i="25" s="1"/>
  <c r="N130" i="25"/>
  <c r="AK125" i="25" s="1"/>
  <c r="W128" i="25"/>
  <c r="W130" i="25" s="1"/>
  <c r="AM126" i="25" s="1"/>
  <c r="N140" i="25"/>
  <c r="AK135" i="25" s="1"/>
  <c r="G100" i="25"/>
  <c r="AK94" i="25" s="1"/>
  <c r="I140" i="25"/>
  <c r="AM134" i="25" s="1"/>
  <c r="T128" i="25"/>
  <c r="T130" i="25" s="1"/>
  <c r="AQ125" i="25" s="1"/>
  <c r="T98" i="25"/>
  <c r="N100" i="25"/>
  <c r="AK95" i="25" s="1"/>
  <c r="AH136" i="25"/>
  <c r="M98" i="25"/>
  <c r="AC40" i="25"/>
  <c r="AL37" i="25" s="1"/>
  <c r="T38" i="25"/>
  <c r="M38" i="25"/>
  <c r="H40" i="25"/>
  <c r="AL34" i="25" s="1"/>
  <c r="H68" i="25"/>
  <c r="H70" i="25" s="1"/>
  <c r="AL64" i="25" s="1"/>
  <c r="N68" i="25"/>
  <c r="P68" i="25" s="1"/>
  <c r="P70" i="25" s="1"/>
  <c r="AM65" i="25" s="1"/>
  <c r="AH67" i="25"/>
  <c r="T36" i="25"/>
  <c r="N26" i="25"/>
  <c r="P26" i="25" s="1"/>
  <c r="J26" i="25"/>
  <c r="X26" i="25"/>
  <c r="AE26" i="25"/>
  <c r="K26" i="25"/>
  <c r="AC26" i="25"/>
  <c r="V26" i="25"/>
  <c r="Z26" i="25"/>
  <c r="L26" i="25"/>
  <c r="AB26" i="25"/>
  <c r="AD26" i="25" s="1"/>
  <c r="Y26" i="25"/>
  <c r="Q26" i="25"/>
  <c r="G26" i="25"/>
  <c r="I26" i="25" s="1"/>
  <c r="R26" i="25"/>
  <c r="AG26" i="25"/>
  <c r="S26" i="25"/>
  <c r="U26" i="25"/>
  <c r="W26" i="25" s="1"/>
  <c r="O26" i="25"/>
  <c r="H26" i="25"/>
  <c r="AF26" i="25"/>
  <c r="AH65" i="25"/>
  <c r="P40" i="25"/>
  <c r="AM35" i="25" s="1"/>
  <c r="N40" i="25"/>
  <c r="AK35" i="25" s="1"/>
  <c r="AH69" i="25"/>
  <c r="AA46" i="25"/>
  <c r="AA50" i="25" s="1"/>
  <c r="AQ46" i="25" s="1"/>
  <c r="U50" i="25"/>
  <c r="AK46" i="25" s="1"/>
  <c r="AA38" i="25"/>
  <c r="AF40" i="25"/>
  <c r="AO37" i="25" s="1"/>
  <c r="J40" i="25"/>
  <c r="AN34" i="25" s="1"/>
  <c r="AA4" i="25"/>
  <c r="R40" i="25"/>
  <c r="AO35" i="25" s="1"/>
  <c r="AD76" i="25"/>
  <c r="AD80" i="25" s="1"/>
  <c r="AM77" i="25" s="1"/>
  <c r="G80" i="25"/>
  <c r="AK74" i="25" s="1"/>
  <c r="G120" i="25"/>
  <c r="AK114" i="25" s="1"/>
  <c r="AH6" i="25"/>
  <c r="V100" i="25"/>
  <c r="AL96" i="25" s="1"/>
  <c r="AB40" i="25"/>
  <c r="AK37" i="25" s="1"/>
  <c r="AD40" i="25"/>
  <c r="AM37" i="25" s="1"/>
  <c r="AA136" i="25"/>
  <c r="AH24" i="25"/>
  <c r="M46" i="25"/>
  <c r="U140" i="25"/>
  <c r="AK136" i="25" s="1"/>
  <c r="AH46" i="25"/>
  <c r="AH50" i="25" s="1"/>
  <c r="AQ47" i="25" s="1"/>
  <c r="AB50" i="25"/>
  <c r="AK47" i="25" s="1"/>
  <c r="AE40" i="25"/>
  <c r="AN37" i="25" s="1"/>
  <c r="M57" i="25"/>
  <c r="AB140" i="25"/>
  <c r="AK137" i="25" s="1"/>
  <c r="T24" i="25"/>
  <c r="AA24" i="25"/>
  <c r="AD140" i="25"/>
  <c r="AM137" i="25" s="1"/>
  <c r="O40" i="25"/>
  <c r="AL35" i="25" s="1"/>
  <c r="Q40" i="25"/>
  <c r="AN35" i="25" s="1"/>
  <c r="AG68" i="25"/>
  <c r="AG70" i="25" s="1"/>
  <c r="AP67" i="25" s="1"/>
  <c r="S68" i="25"/>
  <c r="S70" i="25" s="1"/>
  <c r="AP65" i="25" s="1"/>
  <c r="O68" i="25"/>
  <c r="O70" i="25" s="1"/>
  <c r="AL65" i="25" s="1"/>
  <c r="K68" i="25"/>
  <c r="K70" i="25" s="1"/>
  <c r="AO64" i="25" s="1"/>
  <c r="X68" i="25"/>
  <c r="X70" i="25" s="1"/>
  <c r="AN66" i="25" s="1"/>
  <c r="L68" i="25"/>
  <c r="L70" i="25" s="1"/>
  <c r="AP64" i="25" s="1"/>
  <c r="V68" i="25"/>
  <c r="V70" i="25" s="1"/>
  <c r="AL66" i="25" s="1"/>
  <c r="J68" i="25"/>
  <c r="J70" i="25" s="1"/>
  <c r="AN64" i="25" s="1"/>
  <c r="R68" i="25"/>
  <c r="R70" i="25" s="1"/>
  <c r="AO65" i="25" s="1"/>
  <c r="Q68" i="25"/>
  <c r="Q70" i="25" s="1"/>
  <c r="AN65" i="25" s="1"/>
  <c r="AF68" i="25"/>
  <c r="AF70" i="25" s="1"/>
  <c r="AO67" i="25" s="1"/>
  <c r="AB68" i="25"/>
  <c r="AD68" i="25" s="1"/>
  <c r="M24" i="25"/>
  <c r="AE68" i="25"/>
  <c r="AE70" i="25" s="1"/>
  <c r="AN67" i="25" s="1"/>
  <c r="G68" i="25"/>
  <c r="I68" i="25" s="1"/>
  <c r="U68" i="25"/>
  <c r="W68" i="25" s="1"/>
  <c r="W70" i="25" s="1"/>
  <c r="AM66" i="25" s="1"/>
  <c r="X28" i="25"/>
  <c r="AF28" i="25"/>
  <c r="Q28" i="25"/>
  <c r="O28" i="25"/>
  <c r="AG28" i="25"/>
  <c r="U28" i="25"/>
  <c r="W28" i="25" s="1"/>
  <c r="AB28" i="25"/>
  <c r="AD28" i="25" s="1"/>
  <c r="N28" i="25"/>
  <c r="P28" i="25" s="1"/>
  <c r="AC28" i="25"/>
  <c r="G28" i="25"/>
  <c r="I28" i="25" s="1"/>
  <c r="R28" i="25"/>
  <c r="L28" i="25"/>
  <c r="J28" i="25"/>
  <c r="K28" i="25"/>
  <c r="AE28" i="25"/>
  <c r="S28" i="25"/>
  <c r="V28" i="25"/>
  <c r="Z28" i="25"/>
  <c r="Y28" i="25"/>
  <c r="H28" i="25"/>
  <c r="AB110" i="25"/>
  <c r="AK107" i="25" s="1"/>
  <c r="AC68" i="25"/>
  <c r="AC70" i="25" s="1"/>
  <c r="AL67" i="25" s="1"/>
  <c r="Z68" i="25"/>
  <c r="Z70" i="25" s="1"/>
  <c r="AP66" i="25" s="1"/>
  <c r="T39" i="25"/>
  <c r="AE60" i="25"/>
  <c r="AN57" i="25" s="1"/>
  <c r="AA17" i="25"/>
  <c r="G40" i="25"/>
  <c r="AK34" i="25" s="1"/>
  <c r="M39" i="25"/>
  <c r="N120" i="25"/>
  <c r="AK115" i="25" s="1"/>
  <c r="AA19" i="25"/>
  <c r="N80" i="25"/>
  <c r="AK75" i="25" s="1"/>
  <c r="U80" i="25"/>
  <c r="AK76" i="25" s="1"/>
  <c r="M19" i="25"/>
  <c r="AA34" i="25"/>
  <c r="AH17" i="25"/>
  <c r="AH39" i="25"/>
  <c r="U120" i="25"/>
  <c r="AK116" i="25" s="1"/>
  <c r="M6" i="25"/>
  <c r="G110" i="25"/>
  <c r="AK104" i="25" s="1"/>
  <c r="T6" i="25"/>
  <c r="T17" i="25"/>
  <c r="M76" i="25"/>
  <c r="AA37" i="25"/>
  <c r="V40" i="25"/>
  <c r="AL36" i="25" s="1"/>
  <c r="AA39" i="25"/>
  <c r="X40" i="25"/>
  <c r="AN36" i="25" s="1"/>
  <c r="AH27" i="25"/>
  <c r="AA6" i="25"/>
  <c r="AA64" i="25"/>
  <c r="W40" i="25"/>
  <c r="AM36" i="25" s="1"/>
  <c r="AB120" i="25"/>
  <c r="AK117" i="25" s="1"/>
  <c r="U40" i="25"/>
  <c r="AK36" i="25" s="1"/>
  <c r="T76" i="25"/>
  <c r="T80" i="25" s="1"/>
  <c r="AQ75" i="25" s="1"/>
  <c r="U110" i="25"/>
  <c r="AK106" i="25" s="1"/>
  <c r="AA9" i="25"/>
  <c r="AA108" i="25"/>
  <c r="AA110" i="25" s="1"/>
  <c r="AQ106" i="25" s="1"/>
  <c r="AA76" i="25"/>
  <c r="M108" i="25"/>
  <c r="M110" i="25" s="1"/>
  <c r="AQ104" i="25" s="1"/>
  <c r="M9" i="25"/>
  <c r="O80" i="25"/>
  <c r="AL75" i="25" s="1"/>
  <c r="AH4" i="25"/>
  <c r="AC80" i="25"/>
  <c r="AL77" i="25" s="1"/>
  <c r="T27" i="25"/>
  <c r="M118" i="25"/>
  <c r="AA118" i="25"/>
  <c r="T9" i="25"/>
  <c r="T4" i="25"/>
  <c r="W80" i="25"/>
  <c r="AM76" i="25" s="1"/>
  <c r="AB60" i="25"/>
  <c r="AK57" i="25" s="1"/>
  <c r="M4" i="25"/>
  <c r="AA27" i="25"/>
  <c r="H110" i="25"/>
  <c r="AL104" i="25" s="1"/>
  <c r="AH19" i="25"/>
  <c r="T118" i="25"/>
  <c r="AH9" i="25"/>
  <c r="AG8" i="25"/>
  <c r="AG10" i="25" s="1"/>
  <c r="AP7" i="25" s="1"/>
  <c r="X8" i="25"/>
  <c r="X10" i="25" s="1"/>
  <c r="AN6" i="25" s="1"/>
  <c r="O8" i="25"/>
  <c r="O10" i="25" s="1"/>
  <c r="AL5" i="25" s="1"/>
  <c r="K8" i="25"/>
  <c r="K10" i="25" s="1"/>
  <c r="AO4" i="25" s="1"/>
  <c r="G8" i="25"/>
  <c r="AB8" i="25"/>
  <c r="AE8" i="25"/>
  <c r="AE10" i="25" s="1"/>
  <c r="AN7" i="25" s="1"/>
  <c r="Y8" i="25"/>
  <c r="Y10" i="25" s="1"/>
  <c r="AO6" i="25" s="1"/>
  <c r="AC8" i="25"/>
  <c r="AC10" i="25" s="1"/>
  <c r="AL7" i="25" s="1"/>
  <c r="N8" i="25"/>
  <c r="P8" i="25" s="1"/>
  <c r="P10" i="25" s="1"/>
  <c r="AM5" i="25" s="1"/>
  <c r="V8" i="25"/>
  <c r="V10" i="25" s="1"/>
  <c r="AL6" i="25" s="1"/>
  <c r="U8" i="25"/>
  <c r="AF8" i="25"/>
  <c r="AF10" i="25" s="1"/>
  <c r="AO7" i="25" s="1"/>
  <c r="R8" i="25"/>
  <c r="R10" i="25" s="1"/>
  <c r="AO5" i="25" s="1"/>
  <c r="Z8" i="25"/>
  <c r="Z10" i="25" s="1"/>
  <c r="AP6" i="25" s="1"/>
  <c r="S8" i="25"/>
  <c r="S10" i="25" s="1"/>
  <c r="AP5" i="25" s="1"/>
  <c r="Q8" i="25"/>
  <c r="Q10" i="25" s="1"/>
  <c r="AN5" i="25" s="1"/>
  <c r="L8" i="25"/>
  <c r="L10" i="25" s="1"/>
  <c r="AP4" i="25" s="1"/>
  <c r="H8" i="25"/>
  <c r="H10" i="25" s="1"/>
  <c r="AL4" i="25" s="1"/>
  <c r="J8" i="25"/>
  <c r="J10" i="25" s="1"/>
  <c r="AN4" i="25" s="1"/>
  <c r="M27" i="25"/>
  <c r="S16" i="25"/>
  <c r="G16" i="25"/>
  <c r="AF16" i="25"/>
  <c r="L16" i="25"/>
  <c r="R16" i="25"/>
  <c r="AE16" i="25"/>
  <c r="AC16" i="25"/>
  <c r="X16" i="25"/>
  <c r="Z16" i="25"/>
  <c r="H16" i="25"/>
  <c r="U16" i="25"/>
  <c r="V16" i="25"/>
  <c r="AB16" i="25"/>
  <c r="J16" i="25"/>
  <c r="N16" i="25"/>
  <c r="Q16" i="25"/>
  <c r="O16" i="25"/>
  <c r="AG16" i="25"/>
  <c r="Y16" i="25"/>
  <c r="K16" i="25"/>
  <c r="AH14" i="25"/>
  <c r="N110" i="25"/>
  <c r="AK105" i="25" s="1"/>
  <c r="G18" i="25"/>
  <c r="I18" i="25" s="1"/>
  <c r="O18" i="25"/>
  <c r="K18" i="25"/>
  <c r="N18" i="25"/>
  <c r="P18" i="25" s="1"/>
  <c r="AF18" i="25"/>
  <c r="U18" i="25"/>
  <c r="W18" i="25" s="1"/>
  <c r="H18" i="25"/>
  <c r="V18" i="25"/>
  <c r="AG18" i="25"/>
  <c r="Z18" i="25"/>
  <c r="S18" i="25"/>
  <c r="AC18" i="25"/>
  <c r="AB18" i="25"/>
  <c r="AD18" i="25" s="1"/>
  <c r="Y18" i="25"/>
  <c r="AE18" i="25"/>
  <c r="L18" i="25"/>
  <c r="R18" i="25"/>
  <c r="Q18" i="25"/>
  <c r="J18" i="25"/>
  <c r="X18" i="25"/>
  <c r="T108" i="25"/>
  <c r="AH118" i="25"/>
  <c r="M14" i="25"/>
  <c r="AH108" i="25"/>
  <c r="AH110" i="25" s="1"/>
  <c r="AQ107" i="25" s="1"/>
  <c r="T19" i="25"/>
  <c r="T14" i="25"/>
  <c r="M18" i="8"/>
  <c r="M19" i="8"/>
  <c r="M17" i="8"/>
  <c r="M16" i="8"/>
  <c r="AA90" i="25"/>
  <c r="AQ86" i="25" s="1"/>
  <c r="J20" i="8"/>
  <c r="AN14" i="8" s="1"/>
  <c r="AH90" i="25"/>
  <c r="AQ87" i="25" s="1"/>
  <c r="I20" i="8"/>
  <c r="AM14" i="8" s="1"/>
  <c r="M14" i="8"/>
  <c r="G20" i="8"/>
  <c r="AK14" i="8" s="1"/>
  <c r="M15" i="8"/>
  <c r="T90" i="25"/>
  <c r="AQ85" i="25" s="1"/>
  <c r="H20" i="8"/>
  <c r="AL14" i="8" s="1"/>
  <c r="M160" i="25"/>
  <c r="AQ154" i="25" s="1"/>
  <c r="M40" i="8"/>
  <c r="AQ34" i="8" s="1"/>
  <c r="AA18" i="8"/>
  <c r="T146" i="25"/>
  <c r="T150" i="25" s="1"/>
  <c r="AQ145" i="25" s="1"/>
  <c r="AA160" i="25"/>
  <c r="AQ156" i="25" s="1"/>
  <c r="T136" i="25"/>
  <c r="T160" i="25"/>
  <c r="AQ155" i="25" s="1"/>
  <c r="M90" i="25"/>
  <c r="AQ84" i="25" s="1"/>
  <c r="AA35" i="8"/>
  <c r="W150" i="25"/>
  <c r="AM146" i="25" s="1"/>
  <c r="AA146" i="25"/>
  <c r="AA150" i="25" s="1"/>
  <c r="AQ146" i="25" s="1"/>
  <c r="AD150" i="25"/>
  <c r="AM147" i="25" s="1"/>
  <c r="AH146" i="25"/>
  <c r="AH150" i="25" s="1"/>
  <c r="AQ147" i="25" s="1"/>
  <c r="M146" i="25"/>
  <c r="M150" i="25" s="1"/>
  <c r="AQ144" i="25" s="1"/>
  <c r="AH66" i="25"/>
  <c r="T66" i="25"/>
  <c r="T46" i="25"/>
  <c r="T50" i="25" s="1"/>
  <c r="AQ45" i="25" s="1"/>
  <c r="AA17" i="8"/>
  <c r="AH28" i="8"/>
  <c r="AH160" i="25"/>
  <c r="AQ157" i="25" s="1"/>
  <c r="AA19" i="8"/>
  <c r="T64" i="25"/>
  <c r="M64" i="25"/>
  <c r="AH64" i="25"/>
  <c r="AA66" i="25"/>
  <c r="AA14" i="25"/>
  <c r="T10" i="8"/>
  <c r="AQ5" i="8" s="1"/>
  <c r="M66" i="25"/>
  <c r="I50" i="25"/>
  <c r="AM44" i="25" s="1"/>
  <c r="M44" i="25"/>
  <c r="T106" i="25"/>
  <c r="P110" i="25"/>
  <c r="AM105" i="25" s="1"/>
  <c r="I40" i="25"/>
  <c r="AM34" i="25" s="1"/>
  <c r="M34" i="25"/>
  <c r="C9" i="10"/>
  <c r="Q8" i="10"/>
  <c r="B9" i="10"/>
  <c r="A26" i="19" s="1"/>
  <c r="B22" i="19"/>
  <c r="B5" i="6"/>
  <c r="B30" i="20"/>
  <c r="AA10" i="8"/>
  <c r="AQ6" i="8" s="1"/>
  <c r="C28" i="3"/>
  <c r="B30" i="21"/>
  <c r="Q27" i="3"/>
  <c r="R27" i="3" s="1"/>
  <c r="C13" i="1" s="1"/>
  <c r="M10" i="8"/>
  <c r="AQ4" i="8" s="1"/>
  <c r="AA74" i="25"/>
  <c r="AA38" i="8"/>
  <c r="AA39" i="8"/>
  <c r="X20" i="8"/>
  <c r="AN16" i="8" s="1"/>
  <c r="T20" i="8"/>
  <c r="AQ15" i="8" s="1"/>
  <c r="AH29" i="8"/>
  <c r="AA36" i="8"/>
  <c r="T35" i="8"/>
  <c r="T40" i="8" s="1"/>
  <c r="AQ35" i="8" s="1"/>
  <c r="AH20" i="8"/>
  <c r="AQ17" i="8" s="1"/>
  <c r="W14" i="8"/>
  <c r="W20" i="8" s="1"/>
  <c r="AM16" i="8" s="1"/>
  <c r="U20" i="8"/>
  <c r="AK16" i="8" s="1"/>
  <c r="AA16" i="8"/>
  <c r="U40" i="8"/>
  <c r="AK36" i="8" s="1"/>
  <c r="W34" i="8"/>
  <c r="W40" i="8" s="1"/>
  <c r="AM36" i="8" s="1"/>
  <c r="AB30" i="8"/>
  <c r="AK27" i="8" s="1"/>
  <c r="AD24" i="8"/>
  <c r="AD30" i="8" s="1"/>
  <c r="AM27" i="8" s="1"/>
  <c r="AH26" i="8"/>
  <c r="AH35" i="8"/>
  <c r="AH40" i="8" s="1"/>
  <c r="AQ37" i="8" s="1"/>
  <c r="T25" i="8"/>
  <c r="T30" i="8" s="1"/>
  <c r="AQ25" i="8" s="1"/>
  <c r="AA30" i="8"/>
  <c r="AQ26" i="8" s="1"/>
  <c r="M25" i="8"/>
  <c r="M30" i="8" s="1"/>
  <c r="AQ24" i="8" s="1"/>
  <c r="X40" i="8"/>
  <c r="AN36" i="8" s="1"/>
  <c r="AA37" i="8"/>
  <c r="V20" i="8"/>
  <c r="AL16" i="8" s="1"/>
  <c r="V40" i="8"/>
  <c r="AL36" i="8" s="1"/>
  <c r="AH10" i="8"/>
  <c r="AQ7" i="8" s="1"/>
  <c r="AH25" i="8"/>
  <c r="AE30" i="8"/>
  <c r="AN27" i="8" s="1"/>
  <c r="AC30" i="8"/>
  <c r="AL27" i="8" s="1"/>
  <c r="Y30" i="25" l="1"/>
  <c r="AO26" i="25" s="1"/>
  <c r="T56" i="25"/>
  <c r="T60" i="25" s="1"/>
  <c r="AQ55" i="25" s="1"/>
  <c r="AH56" i="25"/>
  <c r="AH60" i="25" s="1"/>
  <c r="AQ57" i="25" s="1"/>
  <c r="M56" i="25"/>
  <c r="G60" i="25"/>
  <c r="AK54" i="25" s="1"/>
  <c r="T140" i="25"/>
  <c r="AQ135" i="25" s="1"/>
  <c r="P60" i="25"/>
  <c r="AM55" i="25" s="1"/>
  <c r="AA56" i="25"/>
  <c r="AA60" i="25" s="1"/>
  <c r="AQ56" i="25" s="1"/>
  <c r="N60" i="25"/>
  <c r="AK55" i="25" s="1"/>
  <c r="U60" i="25"/>
  <c r="AK56" i="25" s="1"/>
  <c r="M100" i="25"/>
  <c r="AQ94" i="25" s="1"/>
  <c r="S30" i="25"/>
  <c r="AP25" i="25" s="1"/>
  <c r="AA140" i="25"/>
  <c r="AQ136" i="25" s="1"/>
  <c r="AA120" i="25"/>
  <c r="AQ116" i="25" s="1"/>
  <c r="AH120" i="25"/>
  <c r="AQ117" i="25" s="1"/>
  <c r="T120" i="25"/>
  <c r="AQ115" i="25" s="1"/>
  <c r="AH40" i="25"/>
  <c r="AQ37" i="25" s="1"/>
  <c r="M80" i="25"/>
  <c r="AQ74" i="25" s="1"/>
  <c r="AS74" i="25" s="1"/>
  <c r="AT74" i="25" s="1"/>
  <c r="M120" i="25"/>
  <c r="AQ114" i="25" s="1"/>
  <c r="AH140" i="25"/>
  <c r="AQ137" i="25" s="1"/>
  <c r="M140" i="25"/>
  <c r="AQ134" i="25" s="1"/>
  <c r="AG30" i="25"/>
  <c r="AP27" i="25" s="1"/>
  <c r="AC30" i="25"/>
  <c r="AL27" i="25" s="1"/>
  <c r="AE30" i="25"/>
  <c r="AN27" i="25" s="1"/>
  <c r="Q30" i="25"/>
  <c r="AN25" i="25" s="1"/>
  <c r="AF30" i="25"/>
  <c r="AO27" i="25" s="1"/>
  <c r="T100" i="25"/>
  <c r="AQ95" i="25" s="1"/>
  <c r="AA100" i="25"/>
  <c r="AQ96" i="25" s="1"/>
  <c r="AS97" i="25" s="1"/>
  <c r="H30" i="25"/>
  <c r="AL24" i="25" s="1"/>
  <c r="X30" i="25"/>
  <c r="AN26" i="25" s="1"/>
  <c r="P30" i="25"/>
  <c r="AM25" i="25" s="1"/>
  <c r="AA128" i="25"/>
  <c r="AA130" i="25" s="1"/>
  <c r="AQ126" i="25" s="1"/>
  <c r="AS127" i="25" s="1"/>
  <c r="AT127" i="25" s="1"/>
  <c r="AH76" i="25"/>
  <c r="AH80" i="25" s="1"/>
  <c r="AQ77" i="25" s="1"/>
  <c r="T40" i="25"/>
  <c r="AQ35" i="25" s="1"/>
  <c r="N70" i="25"/>
  <c r="AK65" i="25" s="1"/>
  <c r="M68" i="25"/>
  <c r="M70" i="25" s="1"/>
  <c r="AQ64" i="25" s="1"/>
  <c r="U70" i="25"/>
  <c r="AK66" i="25" s="1"/>
  <c r="K30" i="25"/>
  <c r="AO24" i="25" s="1"/>
  <c r="W30" i="25"/>
  <c r="AM26" i="25" s="1"/>
  <c r="I30" i="25"/>
  <c r="AM24" i="25" s="1"/>
  <c r="T26" i="25"/>
  <c r="L30" i="25"/>
  <c r="AP24" i="25" s="1"/>
  <c r="J30" i="25"/>
  <c r="AN24" i="25" s="1"/>
  <c r="R30" i="25"/>
  <c r="AO25" i="25" s="1"/>
  <c r="M26" i="25"/>
  <c r="AD30" i="25"/>
  <c r="AM27" i="25" s="1"/>
  <c r="AA26" i="25"/>
  <c r="AH26" i="25"/>
  <c r="O30" i="25"/>
  <c r="AL25" i="25" s="1"/>
  <c r="Z30" i="25"/>
  <c r="AP26" i="25" s="1"/>
  <c r="G70" i="25"/>
  <c r="AK64" i="25" s="1"/>
  <c r="I70" i="25"/>
  <c r="AM64" i="25" s="1"/>
  <c r="M50" i="25"/>
  <c r="AQ44" i="25" s="1"/>
  <c r="AS44" i="25" s="1"/>
  <c r="AT44" i="25" s="1"/>
  <c r="N30" i="25"/>
  <c r="AK25" i="25" s="1"/>
  <c r="AB30" i="25"/>
  <c r="AK27" i="25" s="1"/>
  <c r="T68" i="25"/>
  <c r="T70" i="25" s="1"/>
  <c r="AQ65" i="25" s="1"/>
  <c r="AH68" i="25"/>
  <c r="AH70" i="25" s="1"/>
  <c r="AQ67" i="25" s="1"/>
  <c r="AD70" i="25"/>
  <c r="AM67" i="25" s="1"/>
  <c r="AB70" i="25"/>
  <c r="AK67" i="25" s="1"/>
  <c r="M60" i="25"/>
  <c r="AQ54" i="25" s="1"/>
  <c r="T28" i="25"/>
  <c r="G30" i="25"/>
  <c r="AK24" i="25" s="1"/>
  <c r="M28" i="25"/>
  <c r="AA68" i="25"/>
  <c r="AA70" i="25" s="1"/>
  <c r="AQ66" i="25" s="1"/>
  <c r="AA28" i="25"/>
  <c r="AH28" i="25"/>
  <c r="U30" i="25"/>
  <c r="AK26" i="25" s="1"/>
  <c r="V30" i="25"/>
  <c r="AL26" i="25" s="1"/>
  <c r="M40" i="25"/>
  <c r="AQ34" i="25" s="1"/>
  <c r="T110" i="25"/>
  <c r="AQ105" i="25" s="1"/>
  <c r="AS105" i="25" s="1"/>
  <c r="AT105" i="25" s="1"/>
  <c r="AA80" i="25"/>
  <c r="AQ76" i="25" s="1"/>
  <c r="AA40" i="25"/>
  <c r="AQ36" i="25" s="1"/>
  <c r="AH18" i="25"/>
  <c r="AS106" i="25"/>
  <c r="AT106" i="25" s="1"/>
  <c r="AF20" i="25"/>
  <c r="AO17" i="25" s="1"/>
  <c r="Z20" i="25"/>
  <c r="AP16" i="25" s="1"/>
  <c r="S20" i="25"/>
  <c r="AP15" i="25" s="1"/>
  <c r="AA18" i="25"/>
  <c r="AE20" i="25"/>
  <c r="AN17" i="25" s="1"/>
  <c r="R20" i="25"/>
  <c r="AO15" i="25" s="1"/>
  <c r="M18" i="25"/>
  <c r="Q20" i="25"/>
  <c r="AN15" i="25" s="1"/>
  <c r="X20" i="25"/>
  <c r="AN16" i="25" s="1"/>
  <c r="P16" i="25"/>
  <c r="P20" i="25" s="1"/>
  <c r="AM15" i="25" s="1"/>
  <c r="N20" i="25"/>
  <c r="AK15" i="25" s="1"/>
  <c r="AC20" i="25"/>
  <c r="AL17" i="25" s="1"/>
  <c r="N10" i="25"/>
  <c r="AK5" i="25" s="1"/>
  <c r="J20" i="25"/>
  <c r="AN14" i="25" s="1"/>
  <c r="AD8" i="25"/>
  <c r="AD10" i="25" s="1"/>
  <c r="AM7" i="25" s="1"/>
  <c r="AB10" i="25"/>
  <c r="AK7" i="25" s="1"/>
  <c r="AD16" i="25"/>
  <c r="AD20" i="25" s="1"/>
  <c r="AM17" i="25" s="1"/>
  <c r="AB20" i="25"/>
  <c r="AK17" i="25" s="1"/>
  <c r="I8" i="25"/>
  <c r="I10" i="25" s="1"/>
  <c r="AM4" i="25" s="1"/>
  <c r="G10" i="25"/>
  <c r="AK4" i="25" s="1"/>
  <c r="T18" i="25"/>
  <c r="K20" i="25"/>
  <c r="AO14" i="25" s="1"/>
  <c r="V20" i="25"/>
  <c r="AL16" i="25" s="1"/>
  <c r="L20" i="25"/>
  <c r="AP14" i="25" s="1"/>
  <c r="W8" i="25"/>
  <c r="W10" i="25" s="1"/>
  <c r="AM6" i="25" s="1"/>
  <c r="U10" i="25"/>
  <c r="AK6" i="25" s="1"/>
  <c r="Y20" i="25"/>
  <c r="AO16" i="25" s="1"/>
  <c r="W16" i="25"/>
  <c r="W20" i="25" s="1"/>
  <c r="AM16" i="25" s="1"/>
  <c r="U20" i="25"/>
  <c r="AK16" i="25" s="1"/>
  <c r="T8" i="25"/>
  <c r="T10" i="25" s="1"/>
  <c r="AQ5" i="25" s="1"/>
  <c r="AG20" i="25"/>
  <c r="AP17" i="25" s="1"/>
  <c r="H20" i="25"/>
  <c r="AL14" i="25" s="1"/>
  <c r="I16" i="25"/>
  <c r="I20" i="25" s="1"/>
  <c r="AM14" i="25" s="1"/>
  <c r="G20" i="25"/>
  <c r="AK14" i="25" s="1"/>
  <c r="O20" i="25"/>
  <c r="AL15" i="25" s="1"/>
  <c r="AS125" i="25"/>
  <c r="AT125" i="25" s="1"/>
  <c r="AS154" i="25"/>
  <c r="AT154" i="25" s="1"/>
  <c r="AS35" i="8"/>
  <c r="AT35" i="8" s="1"/>
  <c r="AS86" i="25"/>
  <c r="AT86" i="25" s="1"/>
  <c r="AS87" i="25"/>
  <c r="AT87" i="25" s="1"/>
  <c r="M20" i="8"/>
  <c r="AQ14" i="8" s="1"/>
  <c r="AS15" i="8" s="1"/>
  <c r="AT15" i="8" s="1"/>
  <c r="AS84" i="25"/>
  <c r="AT84" i="25" s="1"/>
  <c r="AS144" i="25"/>
  <c r="AT144" i="25" s="1"/>
  <c r="AS156" i="25"/>
  <c r="AT156" i="25" s="1"/>
  <c r="AS46" i="25"/>
  <c r="AS155" i="25"/>
  <c r="AT155" i="25" s="1"/>
  <c r="AS124" i="25"/>
  <c r="AT124" i="25" s="1"/>
  <c r="AS147" i="25"/>
  <c r="AT147" i="25" s="1"/>
  <c r="AS107" i="25"/>
  <c r="AT107" i="25" s="1"/>
  <c r="AS85" i="25"/>
  <c r="AT85" i="25" s="1"/>
  <c r="AS146" i="25"/>
  <c r="AT146" i="25" s="1"/>
  <c r="AS5" i="8"/>
  <c r="AT5" i="8" s="1"/>
  <c r="AS145" i="25"/>
  <c r="AT145" i="25" s="1"/>
  <c r="AS157" i="25"/>
  <c r="AT157" i="25" s="1"/>
  <c r="AS47" i="25"/>
  <c r="AT47" i="25" s="1"/>
  <c r="AS4" i="8"/>
  <c r="AT4" i="8" s="1"/>
  <c r="AS7" i="8"/>
  <c r="AT7" i="8" s="1"/>
  <c r="AH24" i="8"/>
  <c r="AH30" i="8" s="1"/>
  <c r="AQ27" i="8" s="1"/>
  <c r="B34" i="21"/>
  <c r="Q28" i="3"/>
  <c r="R28" i="3" s="1"/>
  <c r="E44" i="1" s="1"/>
  <c r="C29" i="3"/>
  <c r="AA34" i="8"/>
  <c r="AA40" i="8" s="1"/>
  <c r="AQ36" i="8" s="1"/>
  <c r="AS36" i="8" s="1"/>
  <c r="AT36" i="8" s="1"/>
  <c r="B34" i="20"/>
  <c r="B13" i="6"/>
  <c r="C10" i="10"/>
  <c r="B26" i="19"/>
  <c r="Q9" i="10"/>
  <c r="B10" i="10"/>
  <c r="A30" i="19" s="1"/>
  <c r="AS25" i="8"/>
  <c r="AT25" i="8" s="1"/>
  <c r="AS6" i="8"/>
  <c r="AT6" i="8" s="1"/>
  <c r="AA14" i="8"/>
  <c r="AA20" i="8" s="1"/>
  <c r="AQ16" i="8" s="1"/>
  <c r="AS16" i="8" s="1"/>
  <c r="AT16" i="8" s="1"/>
  <c r="AS24" i="8"/>
  <c r="AT24" i="8" s="1"/>
  <c r="AS34" i="8"/>
  <c r="AT34" i="8" s="1"/>
  <c r="AS75" i="25" l="1"/>
  <c r="AT75" i="25" s="1"/>
  <c r="AS134" i="25"/>
  <c r="AT134" i="25" s="1"/>
  <c r="AS137" i="25"/>
  <c r="AT137" i="25" s="1"/>
  <c r="AT97" i="25"/>
  <c r="AS94" i="25"/>
  <c r="AT94" i="25" s="1"/>
  <c r="AS56" i="25"/>
  <c r="AT56" i="25" s="1"/>
  <c r="AS116" i="25"/>
  <c r="AT116" i="25" s="1"/>
  <c r="AS117" i="25"/>
  <c r="AT117" i="25" s="1"/>
  <c r="AS114" i="25"/>
  <c r="AT114" i="25" s="1"/>
  <c r="AS37" i="25"/>
  <c r="AT37" i="25" s="1"/>
  <c r="AS136" i="25"/>
  <c r="AT136" i="25" s="1"/>
  <c r="AS135" i="25"/>
  <c r="AT135" i="25" s="1"/>
  <c r="AS57" i="25"/>
  <c r="AT57" i="25" s="1"/>
  <c r="AS115" i="25"/>
  <c r="AT115" i="25" s="1"/>
  <c r="AT46" i="25"/>
  <c r="AU46" i="25" s="1"/>
  <c r="AS54" i="25"/>
  <c r="AT54" i="25" s="1"/>
  <c r="T30" i="25"/>
  <c r="AQ25" i="25" s="1"/>
  <c r="AH30" i="25"/>
  <c r="AQ27" i="25" s="1"/>
  <c r="AA30" i="25"/>
  <c r="AQ26" i="25" s="1"/>
  <c r="AS96" i="25"/>
  <c r="AT96" i="25" s="1"/>
  <c r="AS95" i="25"/>
  <c r="AT95" i="25" s="1"/>
  <c r="AS126" i="25"/>
  <c r="AT126" i="25" s="1"/>
  <c r="AU126" i="25" s="1"/>
  <c r="AV126" i="25" s="1"/>
  <c r="AS77" i="25"/>
  <c r="AT77" i="25" s="1"/>
  <c r="AS104" i="25"/>
  <c r="AT104" i="25" s="1"/>
  <c r="AU104" i="25" s="1"/>
  <c r="AV104" i="25" s="1"/>
  <c r="AS34" i="25"/>
  <c r="AT34" i="25" s="1"/>
  <c r="AS35" i="25"/>
  <c r="AT35" i="25" s="1"/>
  <c r="M30" i="25"/>
  <c r="AQ24" i="25" s="1"/>
  <c r="AS45" i="25"/>
  <c r="AT45" i="25" s="1"/>
  <c r="AU47" i="25" s="1"/>
  <c r="AV47" i="25" s="1"/>
  <c r="AS55" i="25"/>
  <c r="AT55" i="25" s="1"/>
  <c r="AS36" i="25"/>
  <c r="AT36" i="25" s="1"/>
  <c r="AS76" i="25"/>
  <c r="AT76" i="25" s="1"/>
  <c r="AU76" i="25" s="1"/>
  <c r="AA16" i="25"/>
  <c r="AA20" i="25" s="1"/>
  <c r="AQ16" i="25" s="1"/>
  <c r="AH16" i="25"/>
  <c r="AH20" i="25" s="1"/>
  <c r="AQ17" i="25" s="1"/>
  <c r="T16" i="25"/>
  <c r="T20" i="25" s="1"/>
  <c r="AQ15" i="25" s="1"/>
  <c r="M16" i="25"/>
  <c r="M20" i="25" s="1"/>
  <c r="AQ14" i="25" s="1"/>
  <c r="AH8" i="25"/>
  <c r="AH10" i="25" s="1"/>
  <c r="AQ7" i="25" s="1"/>
  <c r="AA8" i="25"/>
  <c r="AA10" i="25" s="1"/>
  <c r="AQ6" i="25" s="1"/>
  <c r="M8" i="25"/>
  <c r="M10" i="25" s="1"/>
  <c r="AQ4" i="25" s="1"/>
  <c r="AS4" i="25" s="1"/>
  <c r="AT4" i="25" s="1"/>
  <c r="AU125" i="25"/>
  <c r="AV125" i="25" s="1"/>
  <c r="AU156" i="25"/>
  <c r="AV156" i="25" s="1"/>
  <c r="AS14" i="8"/>
  <c r="AT14" i="8" s="1"/>
  <c r="AU16" i="8" s="1"/>
  <c r="AV16" i="8" s="1"/>
  <c r="AU146" i="25"/>
  <c r="AV146" i="25" s="1"/>
  <c r="AU86" i="25"/>
  <c r="AV86" i="25" s="1"/>
  <c r="AU84" i="25"/>
  <c r="AV84" i="25" s="1"/>
  <c r="AU154" i="25"/>
  <c r="AV154" i="25" s="1"/>
  <c r="AU85" i="25"/>
  <c r="AV85" i="25" s="1"/>
  <c r="AU7" i="8"/>
  <c r="AV7" i="8" s="1"/>
  <c r="AU107" i="25"/>
  <c r="AS64" i="25"/>
  <c r="AT64" i="25" s="1"/>
  <c r="AU157" i="25"/>
  <c r="AV157" i="25" s="1"/>
  <c r="AU87" i="25"/>
  <c r="AV87" i="25" s="1"/>
  <c r="AS66" i="25"/>
  <c r="AT66" i="25" s="1"/>
  <c r="AU144" i="25"/>
  <c r="AV144" i="25" s="1"/>
  <c r="AS67" i="25"/>
  <c r="AT67" i="25" s="1"/>
  <c r="AU105" i="25"/>
  <c r="AU5" i="8"/>
  <c r="AV5" i="8" s="1"/>
  <c r="AU147" i="25"/>
  <c r="AV147" i="25" s="1"/>
  <c r="AU145" i="25"/>
  <c r="AV145" i="25" s="1"/>
  <c r="AU34" i="8"/>
  <c r="AV34" i="8" s="1"/>
  <c r="AU155" i="25"/>
  <c r="AV155" i="25" s="1"/>
  <c r="AS37" i="8"/>
  <c r="AT37" i="8" s="1"/>
  <c r="AU37" i="8" s="1"/>
  <c r="AV37" i="8" s="1"/>
  <c r="AS65" i="25"/>
  <c r="AT65" i="25" s="1"/>
  <c r="AU127" i="25"/>
  <c r="AV127" i="25" s="1"/>
  <c r="AS27" i="8"/>
  <c r="AT27" i="8" s="1"/>
  <c r="AU27" i="8" s="1"/>
  <c r="AS26" i="8"/>
  <c r="AT26" i="8" s="1"/>
  <c r="AU24" i="8" s="1"/>
  <c r="AV24" i="8" s="1"/>
  <c r="B38" i="21"/>
  <c r="C30" i="3"/>
  <c r="Q29" i="3"/>
  <c r="R29" i="3" s="1"/>
  <c r="E47" i="1" s="1"/>
  <c r="B38" i="20"/>
  <c r="B21" i="6"/>
  <c r="C11" i="10"/>
  <c r="B11" i="10"/>
  <c r="A34" i="19" s="1"/>
  <c r="B30" i="19"/>
  <c r="Q10" i="10"/>
  <c r="AU6" i="8"/>
  <c r="AV6" i="8" s="1"/>
  <c r="AU4" i="8"/>
  <c r="AV4" i="8" s="1"/>
  <c r="AU36" i="8"/>
  <c r="AV36" i="8" s="1"/>
  <c r="AS17" i="8"/>
  <c r="AT17" i="8" s="1"/>
  <c r="AV76" i="25" l="1"/>
  <c r="AU77" i="25"/>
  <c r="AV77" i="25" s="1"/>
  <c r="AU134" i="25"/>
  <c r="AV134" i="25" s="1"/>
  <c r="AU96" i="25"/>
  <c r="AV96" i="25" s="1"/>
  <c r="AU95" i="25"/>
  <c r="AV95" i="25" s="1"/>
  <c r="AU115" i="25"/>
  <c r="AV115" i="25" s="1"/>
  <c r="AU135" i="25"/>
  <c r="AV135" i="25" s="1"/>
  <c r="AU116" i="25"/>
  <c r="AV116" i="25" s="1"/>
  <c r="AU117" i="25"/>
  <c r="AV117" i="25" s="1"/>
  <c r="AU137" i="25"/>
  <c r="AV137" i="25" s="1"/>
  <c r="AU55" i="25"/>
  <c r="AV55" i="25" s="1"/>
  <c r="AU44" i="25"/>
  <c r="AV44" i="25" s="1"/>
  <c r="AW47" i="25" s="1"/>
  <c r="AZ47" i="25" s="1"/>
  <c r="AU114" i="25"/>
  <c r="AV114" i="25" s="1"/>
  <c r="AU136" i="25"/>
  <c r="AV136" i="25" s="1"/>
  <c r="AU56" i="25"/>
  <c r="AV56" i="25" s="1"/>
  <c r="AU35" i="25"/>
  <c r="AV35" i="25" s="1"/>
  <c r="AU54" i="25"/>
  <c r="AV54" i="25" s="1"/>
  <c r="AS24" i="25"/>
  <c r="AT24" i="25" s="1"/>
  <c r="AS26" i="25"/>
  <c r="AT26" i="25" s="1"/>
  <c r="AS27" i="25"/>
  <c r="AT27" i="25" s="1"/>
  <c r="AU94" i="25"/>
  <c r="AV94" i="25" s="1"/>
  <c r="AU97" i="25"/>
  <c r="AV97" i="25" s="1"/>
  <c r="AV107" i="25"/>
  <c r="AW107" i="25" s="1"/>
  <c r="AU106" i="25"/>
  <c r="AV106" i="25" s="1"/>
  <c r="AV105" i="25"/>
  <c r="AU124" i="25"/>
  <c r="AV124" i="25" s="1"/>
  <c r="AW127" i="25" s="1"/>
  <c r="AX127" i="25" s="1"/>
  <c r="AU75" i="25"/>
  <c r="AV75" i="25" s="1"/>
  <c r="AU34" i="25"/>
  <c r="AV34" i="25" s="1"/>
  <c r="AU37" i="25"/>
  <c r="AV37" i="25" s="1"/>
  <c r="AS25" i="25"/>
  <c r="AT25" i="25" s="1"/>
  <c r="AV46" i="25"/>
  <c r="AU45" i="25"/>
  <c r="AV45" i="25" s="1"/>
  <c r="AU74" i="25"/>
  <c r="AV74" i="25" s="1"/>
  <c r="AU57" i="25"/>
  <c r="AV57" i="25" s="1"/>
  <c r="AU36" i="25"/>
  <c r="AV36" i="25" s="1"/>
  <c r="AS16" i="25"/>
  <c r="AT16" i="25" s="1"/>
  <c r="AS17" i="25"/>
  <c r="AT17" i="25" s="1"/>
  <c r="AS14" i="25"/>
  <c r="AT14" i="25" s="1"/>
  <c r="AS15" i="25"/>
  <c r="AT15" i="25" s="1"/>
  <c r="AS6" i="25"/>
  <c r="AT6" i="25" s="1"/>
  <c r="AU4" i="25" s="1"/>
  <c r="AV4" i="25" s="1"/>
  <c r="AS5" i="25"/>
  <c r="AT5" i="25" s="1"/>
  <c r="AS7" i="25"/>
  <c r="AT7" i="25" s="1"/>
  <c r="AU14" i="8"/>
  <c r="AV14" i="8" s="1"/>
  <c r="AW85" i="25"/>
  <c r="AZ85" i="25" s="1"/>
  <c r="AW145" i="25"/>
  <c r="AY145" i="25" s="1"/>
  <c r="AW155" i="25"/>
  <c r="AX155" i="25" s="1"/>
  <c r="AW84" i="25"/>
  <c r="AX84" i="25" s="1"/>
  <c r="AW157" i="25"/>
  <c r="AX157" i="25" s="1"/>
  <c r="AW86" i="25"/>
  <c r="AZ86" i="25" s="1"/>
  <c r="AW154" i="25"/>
  <c r="AZ154" i="25" s="1"/>
  <c r="AW125" i="25"/>
  <c r="AY125" i="25" s="1"/>
  <c r="AW126" i="25"/>
  <c r="AY126" i="25" s="1"/>
  <c r="AU65" i="25"/>
  <c r="AV65" i="25" s="1"/>
  <c r="AU64" i="25"/>
  <c r="AV64" i="25" s="1"/>
  <c r="AW87" i="25"/>
  <c r="AW156" i="25"/>
  <c r="AX156" i="25" s="1"/>
  <c r="AU66" i="25"/>
  <c r="AV66" i="25" s="1"/>
  <c r="AW147" i="25"/>
  <c r="AZ147" i="25" s="1"/>
  <c r="AW37" i="8"/>
  <c r="AY37" i="8" s="1"/>
  <c r="AW6" i="8"/>
  <c r="AX6" i="8" s="1"/>
  <c r="AU25" i="8"/>
  <c r="AV25" i="8" s="1"/>
  <c r="AW146" i="25"/>
  <c r="AU35" i="8"/>
  <c r="AV35" i="8" s="1"/>
  <c r="AW35" i="8" s="1"/>
  <c r="AY35" i="8" s="1"/>
  <c r="AW144" i="25"/>
  <c r="AU67" i="25"/>
  <c r="AV67" i="25" s="1"/>
  <c r="AV27" i="8"/>
  <c r="AW27" i="8" s="1"/>
  <c r="AU26" i="8"/>
  <c r="AV26" i="8" s="1"/>
  <c r="AW34" i="8"/>
  <c r="AY34" i="8" s="1"/>
  <c r="AW7" i="8"/>
  <c r="AX7" i="8" s="1"/>
  <c r="B29" i="6"/>
  <c r="B42" i="20"/>
  <c r="B34" i="19"/>
  <c r="Q11" i="10"/>
  <c r="B12" i="10"/>
  <c r="A38" i="19" s="1"/>
  <c r="C12" i="10"/>
  <c r="C31" i="3"/>
  <c r="B42" i="21"/>
  <c r="Q30" i="3"/>
  <c r="R30" i="3" s="1"/>
  <c r="E19" i="1" s="1"/>
  <c r="AW5" i="8"/>
  <c r="AZ5" i="8" s="1"/>
  <c r="AW4" i="8"/>
  <c r="AU17" i="8"/>
  <c r="AV17" i="8" s="1"/>
  <c r="AU15" i="8"/>
  <c r="AV15" i="8" s="1"/>
  <c r="AW75" i="25" l="1"/>
  <c r="AZ75" i="25" s="1"/>
  <c r="AW77" i="25"/>
  <c r="AY77" i="25" s="1"/>
  <c r="AW95" i="25"/>
  <c r="AY95" i="25" s="1"/>
  <c r="AW137" i="25"/>
  <c r="AY137" i="25" s="1"/>
  <c r="AW96" i="25"/>
  <c r="AZ96" i="25" s="1"/>
  <c r="AW44" i="25"/>
  <c r="AX44" i="25" s="1"/>
  <c r="AW134" i="25"/>
  <c r="AZ134" i="25" s="1"/>
  <c r="AW115" i="25"/>
  <c r="AY115" i="25" s="1"/>
  <c r="AW116" i="25"/>
  <c r="AZ116" i="25" s="1"/>
  <c r="AW135" i="25"/>
  <c r="AY135" i="25" s="1"/>
  <c r="AW117" i="25"/>
  <c r="AZ117" i="25" s="1"/>
  <c r="AW114" i="25"/>
  <c r="AX114" i="25" s="1"/>
  <c r="AW136" i="25"/>
  <c r="AX136" i="25" s="1"/>
  <c r="AW56" i="25"/>
  <c r="AX56" i="25" s="1"/>
  <c r="AW54" i="25"/>
  <c r="AY54" i="25" s="1"/>
  <c r="AU26" i="25"/>
  <c r="AV26" i="25" s="1"/>
  <c r="AU24" i="25"/>
  <c r="AV24" i="25" s="1"/>
  <c r="AU27" i="25"/>
  <c r="AV27" i="25" s="1"/>
  <c r="AW94" i="25"/>
  <c r="AY94" i="25" s="1"/>
  <c r="AW97" i="25"/>
  <c r="AX97" i="25" s="1"/>
  <c r="AW104" i="25"/>
  <c r="AZ104" i="25" s="1"/>
  <c r="AU25" i="25"/>
  <c r="AV25" i="25" s="1"/>
  <c r="AW105" i="25"/>
  <c r="AZ105" i="25" s="1"/>
  <c r="AW106" i="25"/>
  <c r="AY106" i="25" s="1"/>
  <c r="AW124" i="25"/>
  <c r="AX124" i="25" s="1"/>
  <c r="AW76" i="25"/>
  <c r="AZ76" i="25" s="1"/>
  <c r="AW74" i="25"/>
  <c r="AY74" i="25" s="1"/>
  <c r="AW35" i="25"/>
  <c r="AZ35" i="25" s="1"/>
  <c r="AW37" i="25"/>
  <c r="AY37" i="25" s="1"/>
  <c r="AW46" i="25"/>
  <c r="AZ46" i="25" s="1"/>
  <c r="AW34" i="25"/>
  <c r="AZ34" i="25" s="1"/>
  <c r="AW45" i="25"/>
  <c r="AX45" i="25" s="1"/>
  <c r="AW57" i="25"/>
  <c r="AZ57" i="25" s="1"/>
  <c r="AW55" i="25"/>
  <c r="AZ55" i="25" s="1"/>
  <c r="AW36" i="25"/>
  <c r="AZ36" i="25" s="1"/>
  <c r="AU14" i="25"/>
  <c r="AV14" i="25" s="1"/>
  <c r="AU16" i="25"/>
  <c r="AV16" i="25" s="1"/>
  <c r="AU6" i="25"/>
  <c r="AV6" i="25" s="1"/>
  <c r="AU15" i="25"/>
  <c r="AV15" i="25" s="1"/>
  <c r="AU17" i="25"/>
  <c r="AV17" i="25" s="1"/>
  <c r="AU7" i="25"/>
  <c r="AV7" i="25" s="1"/>
  <c r="AW7" i="25" s="1"/>
  <c r="AU5" i="25"/>
  <c r="AV5" i="25" s="1"/>
  <c r="AX85" i="25"/>
  <c r="AY85" i="25"/>
  <c r="BA85" i="25" s="1"/>
  <c r="AX145" i="25"/>
  <c r="AZ145" i="25"/>
  <c r="BA145" i="25" s="1"/>
  <c r="AY155" i="25"/>
  <c r="AZ155" i="25"/>
  <c r="AZ84" i="25"/>
  <c r="AY84" i="25"/>
  <c r="AY47" i="25"/>
  <c r="BA47" i="25" s="1"/>
  <c r="AX126" i="25"/>
  <c r="AZ157" i="25"/>
  <c r="AX125" i="25"/>
  <c r="AZ125" i="25"/>
  <c r="BA125" i="25" s="1"/>
  <c r="AY86" i="25"/>
  <c r="BA86" i="25" s="1"/>
  <c r="AY154" i="25"/>
  <c r="BA154" i="25" s="1"/>
  <c r="AY157" i="25"/>
  <c r="AY156" i="25"/>
  <c r="AX154" i="25"/>
  <c r="AZ156" i="25"/>
  <c r="AX86" i="25"/>
  <c r="AZ126" i="25"/>
  <c r="BA126" i="25" s="1"/>
  <c r="AZ127" i="25"/>
  <c r="AY127" i="25"/>
  <c r="AX34" i="8"/>
  <c r="AX47" i="25"/>
  <c r="AW65" i="25"/>
  <c r="AX65" i="25" s="1"/>
  <c r="AY87" i="25"/>
  <c r="AZ87" i="25"/>
  <c r="AX87" i="25"/>
  <c r="AW25" i="8"/>
  <c r="AY25" i="8" s="1"/>
  <c r="AY6" i="8"/>
  <c r="AZ6" i="8"/>
  <c r="AW26" i="8"/>
  <c r="AZ26" i="8" s="1"/>
  <c r="AZ37" i="8"/>
  <c r="BA37" i="8" s="1"/>
  <c r="AW66" i="25"/>
  <c r="AX66" i="25" s="1"/>
  <c r="AX147" i="25"/>
  <c r="AW64" i="25"/>
  <c r="AZ64" i="25" s="1"/>
  <c r="AY147" i="25"/>
  <c r="BA147" i="25" s="1"/>
  <c r="AW67" i="25"/>
  <c r="AY67" i="25" s="1"/>
  <c r="AX37" i="8"/>
  <c r="AW36" i="8"/>
  <c r="AX36" i="8" s="1"/>
  <c r="AY146" i="25"/>
  <c r="AX146" i="25"/>
  <c r="AZ146" i="25"/>
  <c r="AW24" i="8"/>
  <c r="AX24" i="8" s="1"/>
  <c r="AZ144" i="25"/>
  <c r="AX144" i="25"/>
  <c r="AY144" i="25"/>
  <c r="AZ34" i="8"/>
  <c r="BA34" i="8" s="1"/>
  <c r="AZ27" i="8"/>
  <c r="AX27" i="8"/>
  <c r="AY27" i="8"/>
  <c r="AY5" i="8"/>
  <c r="BA5" i="8" s="1"/>
  <c r="AX5" i="8"/>
  <c r="AZ7" i="8"/>
  <c r="AY7" i="8"/>
  <c r="AX35" i="8"/>
  <c r="AZ107" i="25"/>
  <c r="AY107" i="25"/>
  <c r="AX107" i="25"/>
  <c r="AZ35" i="8"/>
  <c r="BA35" i="8" s="1"/>
  <c r="B46" i="20"/>
  <c r="B6" i="6"/>
  <c r="C13" i="10"/>
  <c r="Q12" i="10"/>
  <c r="B13" i="10"/>
  <c r="A42" i="19" s="1"/>
  <c r="B38" i="19"/>
  <c r="B46" i="21"/>
  <c r="C32" i="3"/>
  <c r="Q31" i="3"/>
  <c r="R31" i="3" s="1"/>
  <c r="E22" i="1" s="1"/>
  <c r="AW17" i="8"/>
  <c r="AW14" i="8"/>
  <c r="AZ4" i="8"/>
  <c r="AX4" i="8"/>
  <c r="AY4" i="8"/>
  <c r="AW15" i="8"/>
  <c r="AW16" i="8"/>
  <c r="AX75" i="25" l="1"/>
  <c r="AY75" i="25"/>
  <c r="BA75" i="25" s="1"/>
  <c r="AZ77" i="25"/>
  <c r="BA77" i="25" s="1"/>
  <c r="AY96" i="25"/>
  <c r="BA96" i="25" s="1"/>
  <c r="AX95" i="25"/>
  <c r="AX137" i="25"/>
  <c r="AX77" i="25"/>
  <c r="AZ95" i="25"/>
  <c r="BA95" i="25" s="1"/>
  <c r="AZ137" i="25"/>
  <c r="BA137" i="25" s="1"/>
  <c r="AX96" i="25"/>
  <c r="AZ44" i="25"/>
  <c r="AZ135" i="25"/>
  <c r="BA135" i="25" s="1"/>
  <c r="AY44" i="25"/>
  <c r="AY116" i="25"/>
  <c r="BA116" i="25" s="1"/>
  <c r="AY134" i="25"/>
  <c r="BA134" i="25" s="1"/>
  <c r="AX134" i="25"/>
  <c r="AX117" i="25"/>
  <c r="AY117" i="25"/>
  <c r="BA117" i="25" s="1"/>
  <c r="AY114" i="25"/>
  <c r="AZ56" i="25"/>
  <c r="AY56" i="25"/>
  <c r="AZ115" i="25"/>
  <c r="BA115" i="25" s="1"/>
  <c r="AX115" i="25"/>
  <c r="AY136" i="25"/>
  <c r="AZ136" i="25"/>
  <c r="AX116" i="25"/>
  <c r="AX135" i="25"/>
  <c r="AZ114" i="25"/>
  <c r="AX54" i="25"/>
  <c r="AZ54" i="25"/>
  <c r="BA54" i="25" s="1"/>
  <c r="AW26" i="25"/>
  <c r="AY26" i="25" s="1"/>
  <c r="AW25" i="25"/>
  <c r="AX25" i="25" s="1"/>
  <c r="AW27" i="25"/>
  <c r="AZ27" i="25" s="1"/>
  <c r="AY105" i="25"/>
  <c r="BA105" i="25" s="1"/>
  <c r="AZ97" i="25"/>
  <c r="AY97" i="25"/>
  <c r="AX94" i="25"/>
  <c r="AZ94" i="25"/>
  <c r="BA94" i="25" s="1"/>
  <c r="AY104" i="25"/>
  <c r="BA104" i="25" s="1"/>
  <c r="AZ124" i="25"/>
  <c r="AX104" i="25"/>
  <c r="AX105" i="25"/>
  <c r="AW24" i="25"/>
  <c r="AY24" i="25" s="1"/>
  <c r="AX106" i="25"/>
  <c r="AZ106" i="25"/>
  <c r="BA106" i="25" s="1"/>
  <c r="AY124" i="25"/>
  <c r="AZ74" i="25"/>
  <c r="BA74" i="25" s="1"/>
  <c r="AY76" i="25"/>
  <c r="BA76" i="25" s="1"/>
  <c r="AX76" i="25"/>
  <c r="AX74" i="25"/>
  <c r="AZ37" i="25"/>
  <c r="BA37" i="25" s="1"/>
  <c r="AX37" i="25"/>
  <c r="AY35" i="25"/>
  <c r="BA35" i="25" s="1"/>
  <c r="AX35" i="25"/>
  <c r="AY45" i="25"/>
  <c r="AY34" i="25"/>
  <c r="BA34" i="25" s="1"/>
  <c r="AY46" i="25"/>
  <c r="BA46" i="25" s="1"/>
  <c r="AX46" i="25"/>
  <c r="AZ45" i="25"/>
  <c r="AX34" i="25"/>
  <c r="AY57" i="25"/>
  <c r="BA57" i="25" s="1"/>
  <c r="AX55" i="25"/>
  <c r="AX57" i="25"/>
  <c r="AY55" i="25"/>
  <c r="BA55" i="25" s="1"/>
  <c r="AY36" i="25"/>
  <c r="BA36" i="25" s="1"/>
  <c r="AX36" i="25"/>
  <c r="AW5" i="25"/>
  <c r="AZ5" i="25" s="1"/>
  <c r="AW4" i="25"/>
  <c r="AZ4" i="25" s="1"/>
  <c r="AW14" i="25"/>
  <c r="AW17" i="25"/>
  <c r="AW15" i="25"/>
  <c r="AW16" i="25"/>
  <c r="AW6" i="25"/>
  <c r="AY7" i="25"/>
  <c r="AZ7" i="25"/>
  <c r="AX7" i="25"/>
  <c r="BA155" i="25"/>
  <c r="BB155" i="25" s="1"/>
  <c r="BD155" i="25" s="1"/>
  <c r="BA84" i="25"/>
  <c r="BB84" i="25" s="1"/>
  <c r="BC84" i="25" s="1"/>
  <c r="BA157" i="25"/>
  <c r="AX25" i="8"/>
  <c r="AZ25" i="8"/>
  <c r="BA25" i="8" s="1"/>
  <c r="BA156" i="25"/>
  <c r="AY26" i="8"/>
  <c r="BA26" i="8" s="1"/>
  <c r="AY65" i="25"/>
  <c r="AX26" i="8"/>
  <c r="AZ65" i="25"/>
  <c r="AY64" i="25"/>
  <c r="BA64" i="25" s="1"/>
  <c r="BA127" i="25"/>
  <c r="BB127" i="25" s="1"/>
  <c r="BC127" i="25" s="1"/>
  <c r="AZ67" i="25"/>
  <c r="BA67" i="25" s="1"/>
  <c r="AY66" i="25"/>
  <c r="BA6" i="8"/>
  <c r="AZ66" i="25"/>
  <c r="AY24" i="8"/>
  <c r="BA87" i="25"/>
  <c r="BB86" i="25" s="1"/>
  <c r="AX67" i="25"/>
  <c r="AZ24" i="8"/>
  <c r="AZ36" i="8"/>
  <c r="AY36" i="8"/>
  <c r="BA146" i="25"/>
  <c r="BB147" i="25" s="1"/>
  <c r="BA144" i="25"/>
  <c r="BB145" i="25" s="1"/>
  <c r="AX64" i="25"/>
  <c r="BA27" i="8"/>
  <c r="BA7" i="8"/>
  <c r="BB34" i="8"/>
  <c r="BD34" i="8" s="1"/>
  <c r="BA107" i="25"/>
  <c r="BB35" i="8"/>
  <c r="BD35" i="8" s="1"/>
  <c r="B42" i="19"/>
  <c r="B14" i="10"/>
  <c r="A46" i="19" s="1"/>
  <c r="C14" i="10"/>
  <c r="Q13" i="10"/>
  <c r="B50" i="20"/>
  <c r="B14" i="6"/>
  <c r="B50" i="21"/>
  <c r="C33" i="3"/>
  <c r="Q32" i="3"/>
  <c r="R32" i="3" s="1"/>
  <c r="E30" i="1" s="1"/>
  <c r="AY14" i="8"/>
  <c r="AZ14" i="8"/>
  <c r="AX14" i="8"/>
  <c r="BA4" i="8"/>
  <c r="BB5" i="8" s="1"/>
  <c r="AY17" i="8"/>
  <c r="AX17" i="8"/>
  <c r="AZ17" i="8"/>
  <c r="AZ16" i="8"/>
  <c r="AX16" i="8"/>
  <c r="AY16" i="8"/>
  <c r="AZ15" i="8"/>
  <c r="AY15" i="8"/>
  <c r="AX15" i="8"/>
  <c r="BA44" i="25" l="1"/>
  <c r="BB117" i="25"/>
  <c r="BC117" i="25" s="1"/>
  <c r="BA114" i="25"/>
  <c r="BB115" i="25" s="1"/>
  <c r="BD115" i="25" s="1"/>
  <c r="BB135" i="25"/>
  <c r="BC135" i="25" s="1"/>
  <c r="BA56" i="25"/>
  <c r="BB56" i="25" s="1"/>
  <c r="BD56" i="25" s="1"/>
  <c r="BA136" i="25"/>
  <c r="BB136" i="25" s="1"/>
  <c r="BC136" i="25" s="1"/>
  <c r="BB134" i="25"/>
  <c r="BD134" i="25" s="1"/>
  <c r="BB116" i="25"/>
  <c r="BC116" i="25" s="1"/>
  <c r="AY25" i="25"/>
  <c r="AZ26" i="25"/>
  <c r="BA26" i="25" s="1"/>
  <c r="AX26" i="25"/>
  <c r="AX27" i="25"/>
  <c r="AZ25" i="25"/>
  <c r="AY27" i="25"/>
  <c r="BA27" i="25" s="1"/>
  <c r="BA97" i="25"/>
  <c r="BB97" i="25" s="1"/>
  <c r="BC97" i="25" s="1"/>
  <c r="BB94" i="25"/>
  <c r="BC94" i="25" s="1"/>
  <c r="BB95" i="25"/>
  <c r="BD95" i="25" s="1"/>
  <c r="BB105" i="25"/>
  <c r="BC105" i="25" s="1"/>
  <c r="BB104" i="25"/>
  <c r="BC104" i="25" s="1"/>
  <c r="BA124" i="25"/>
  <c r="BB125" i="25" s="1"/>
  <c r="BD125" i="25" s="1"/>
  <c r="BB106" i="25"/>
  <c r="BC106" i="25" s="1"/>
  <c r="AX24" i="25"/>
  <c r="AZ24" i="25"/>
  <c r="BA24" i="25" s="1"/>
  <c r="BB76" i="25"/>
  <c r="BD76" i="25" s="1"/>
  <c r="BA45" i="25"/>
  <c r="BB44" i="25" s="1"/>
  <c r="BC44" i="25" s="1"/>
  <c r="BB35" i="25"/>
  <c r="BC35" i="25" s="1"/>
  <c r="BB47" i="25"/>
  <c r="BB55" i="25"/>
  <c r="BD55" i="25" s="1"/>
  <c r="BB46" i="25"/>
  <c r="BB34" i="25"/>
  <c r="BC34" i="25" s="1"/>
  <c r="BB54" i="25"/>
  <c r="BC54" i="25" s="1"/>
  <c r="BB36" i="25"/>
  <c r="BC36" i="25" s="1"/>
  <c r="BB37" i="25"/>
  <c r="BC37" i="25" s="1"/>
  <c r="AX5" i="25"/>
  <c r="AY5" i="25"/>
  <c r="BA5" i="25" s="1"/>
  <c r="BA7" i="25"/>
  <c r="AY4" i="25"/>
  <c r="BA4" i="25" s="1"/>
  <c r="AX4" i="25"/>
  <c r="AX16" i="25"/>
  <c r="AY16" i="25"/>
  <c r="AZ16" i="25"/>
  <c r="AY15" i="25"/>
  <c r="AX15" i="25"/>
  <c r="AZ15" i="25"/>
  <c r="AY17" i="25"/>
  <c r="AX17" i="25"/>
  <c r="AZ17" i="25"/>
  <c r="AZ14" i="25"/>
  <c r="AX14" i="25"/>
  <c r="AY14" i="25"/>
  <c r="AX6" i="25"/>
  <c r="AY6" i="25"/>
  <c r="AZ6" i="25"/>
  <c r="BD84" i="25"/>
  <c r="BB154" i="25"/>
  <c r="BC154" i="25" s="1"/>
  <c r="BB85" i="25"/>
  <c r="BC85" i="25" s="1"/>
  <c r="BB156" i="25"/>
  <c r="BD156" i="25" s="1"/>
  <c r="BC155" i="25"/>
  <c r="BA66" i="25"/>
  <c r="BB67" i="25" s="1"/>
  <c r="BB157" i="25"/>
  <c r="BA65" i="25"/>
  <c r="BB65" i="25" s="1"/>
  <c r="BB126" i="25"/>
  <c r="BB6" i="8"/>
  <c r="BC6" i="8" s="1"/>
  <c r="BB144" i="25"/>
  <c r="BC144" i="25" s="1"/>
  <c r="BA24" i="8"/>
  <c r="BB24" i="8" s="1"/>
  <c r="BC24" i="8" s="1"/>
  <c r="BB87" i="25"/>
  <c r="BD87" i="25" s="1"/>
  <c r="BD86" i="25"/>
  <c r="BC86" i="25"/>
  <c r="BD147" i="25"/>
  <c r="BA36" i="8"/>
  <c r="BB36" i="8" s="1"/>
  <c r="BC36" i="8" s="1"/>
  <c r="BB7" i="8"/>
  <c r="BC7" i="8" s="1"/>
  <c r="BB27" i="8"/>
  <c r="BC27" i="8" s="1"/>
  <c r="BC147" i="25"/>
  <c r="BC34" i="8"/>
  <c r="BB146" i="25"/>
  <c r="BC146" i="25" s="1"/>
  <c r="BC145" i="25"/>
  <c r="BD145" i="25"/>
  <c r="BB4" i="8"/>
  <c r="BD4" i="8" s="1"/>
  <c r="BC35" i="8"/>
  <c r="BB26" i="8"/>
  <c r="BD26" i="8" s="1"/>
  <c r="BB74" i="25"/>
  <c r="BD74" i="25" s="1"/>
  <c r="BB77" i="25"/>
  <c r="BD77" i="25" s="1"/>
  <c r="BB107" i="25"/>
  <c r="C15" i="10"/>
  <c r="B15" i="10"/>
  <c r="A50" i="19" s="1"/>
  <c r="B46" i="19"/>
  <c r="Q14" i="10"/>
  <c r="B54" i="20"/>
  <c r="B22" i="6"/>
  <c r="B54" i="21"/>
  <c r="C34" i="3"/>
  <c r="Q33" i="3"/>
  <c r="R33" i="3" s="1"/>
  <c r="E36" i="1" s="1"/>
  <c r="BB75" i="25"/>
  <c r="BA14" i="8"/>
  <c r="BA16" i="8"/>
  <c r="BA15" i="8"/>
  <c r="BA17" i="8"/>
  <c r="BC5" i="8"/>
  <c r="BD5" i="8"/>
  <c r="BD136" i="25" l="1"/>
  <c r="BD135" i="25"/>
  <c r="BB57" i="25"/>
  <c r="BD57" i="25" s="1"/>
  <c r="BB137" i="25"/>
  <c r="BC137" i="25" s="1"/>
  <c r="BD117" i="25"/>
  <c r="BB114" i="25"/>
  <c r="BC114" i="25" s="1"/>
  <c r="BD116" i="25"/>
  <c r="BC134" i="25"/>
  <c r="BC115" i="25"/>
  <c r="BD46" i="25"/>
  <c r="BD47" i="25"/>
  <c r="BB26" i="25"/>
  <c r="BC26" i="25" s="1"/>
  <c r="BA25" i="25"/>
  <c r="BB25" i="25" s="1"/>
  <c r="BC25" i="25" s="1"/>
  <c r="BB27" i="25"/>
  <c r="BC27" i="25" s="1"/>
  <c r="BD97" i="25"/>
  <c r="BD94" i="25"/>
  <c r="BB96" i="25"/>
  <c r="BC96" i="25" s="1"/>
  <c r="BC95" i="25"/>
  <c r="BD127" i="25"/>
  <c r="BD105" i="25"/>
  <c r="BD104" i="25"/>
  <c r="BB124" i="25"/>
  <c r="BC124" i="25" s="1"/>
  <c r="BD126" i="25"/>
  <c r="BD106" i="25"/>
  <c r="BC76" i="25"/>
  <c r="BB45" i="25"/>
  <c r="BD45" i="25" s="1"/>
  <c r="BD35" i="25"/>
  <c r="BC47" i="25"/>
  <c r="BC46" i="25"/>
  <c r="BC55" i="25"/>
  <c r="BD34" i="25"/>
  <c r="BD36" i="25"/>
  <c r="BD54" i="25"/>
  <c r="BD37" i="25"/>
  <c r="BD67" i="25"/>
  <c r="BA15" i="25"/>
  <c r="BB4" i="25"/>
  <c r="BD4" i="25" s="1"/>
  <c r="BA14" i="25"/>
  <c r="BA17" i="25"/>
  <c r="BA16" i="25"/>
  <c r="BA6" i="25"/>
  <c r="BB6" i="25" s="1"/>
  <c r="BB5" i="25"/>
  <c r="BD85" i="25"/>
  <c r="BD154" i="25"/>
  <c r="BC56" i="25"/>
  <c r="BC156" i="25"/>
  <c r="BB66" i="25"/>
  <c r="BD66" i="25" s="1"/>
  <c r="BD44" i="25"/>
  <c r="BB64" i="25"/>
  <c r="BC64" i="25" s="1"/>
  <c r="BD24" i="8"/>
  <c r="BC126" i="25"/>
  <c r="BD157" i="25"/>
  <c r="BC157" i="25"/>
  <c r="BC65" i="25"/>
  <c r="BD65" i="25"/>
  <c r="BD144" i="25"/>
  <c r="BD36" i="8"/>
  <c r="BE34" i="8" s="1"/>
  <c r="BF34" i="8" s="1"/>
  <c r="BB37" i="8"/>
  <c r="BD37" i="8" s="1"/>
  <c r="BE86" i="25"/>
  <c r="BG86" i="25" s="1"/>
  <c r="BC87" i="25"/>
  <c r="BE84" i="25"/>
  <c r="BF84" i="25" s="1"/>
  <c r="BD6" i="8"/>
  <c r="BB25" i="8"/>
  <c r="BC25" i="8" s="1"/>
  <c r="BC125" i="25"/>
  <c r="BD7" i="8"/>
  <c r="BE5" i="8" s="1"/>
  <c r="BD27" i="8"/>
  <c r="BD146" i="25"/>
  <c r="BB14" i="8"/>
  <c r="BD14" i="8" s="1"/>
  <c r="BC77" i="25"/>
  <c r="BC4" i="8"/>
  <c r="BC74" i="25"/>
  <c r="BC67" i="25"/>
  <c r="BE147" i="25"/>
  <c r="BE145" i="25"/>
  <c r="BC26" i="8"/>
  <c r="BD107" i="25"/>
  <c r="BC107" i="25"/>
  <c r="BD75" i="25"/>
  <c r="BC75" i="25"/>
  <c r="B58" i="20"/>
  <c r="B30" i="6"/>
  <c r="BB15" i="8"/>
  <c r="BC15" i="8" s="1"/>
  <c r="B58" i="21"/>
  <c r="Q34" i="3"/>
  <c r="R34" i="3" s="1"/>
  <c r="E5" i="1" s="1"/>
  <c r="C35" i="3"/>
  <c r="B50" i="19"/>
  <c r="B16" i="10"/>
  <c r="A54" i="19" s="1"/>
  <c r="C16" i="10"/>
  <c r="Q15" i="10"/>
  <c r="BB16" i="8"/>
  <c r="BC16" i="8" s="1"/>
  <c r="BB17" i="8"/>
  <c r="BC17" i="8" s="1"/>
  <c r="BE134" i="25" l="1"/>
  <c r="BF134" i="25" s="1"/>
  <c r="BD114" i="25"/>
  <c r="BE116" i="25" s="1"/>
  <c r="BF116" i="25" s="1"/>
  <c r="BE117" i="25"/>
  <c r="BD137" i="25"/>
  <c r="BE135" i="25" s="1"/>
  <c r="BG135" i="25" s="1"/>
  <c r="BC57" i="25"/>
  <c r="BE57" i="25" s="1"/>
  <c r="BF57" i="25" s="1"/>
  <c r="BE136" i="25"/>
  <c r="BF136" i="25" s="1"/>
  <c r="BE115" i="25"/>
  <c r="BF115" i="25" s="1"/>
  <c r="BD27" i="25"/>
  <c r="BD26" i="25"/>
  <c r="BE97" i="25"/>
  <c r="BF97" i="25" s="1"/>
  <c r="BB24" i="25"/>
  <c r="BC24" i="25" s="1"/>
  <c r="BD96" i="25"/>
  <c r="BE94" i="25" s="1"/>
  <c r="BG94" i="25" s="1"/>
  <c r="BE95" i="25"/>
  <c r="BG95" i="25" s="1"/>
  <c r="BD124" i="25"/>
  <c r="BE124" i="25" s="1"/>
  <c r="BE127" i="25"/>
  <c r="BF127" i="25" s="1"/>
  <c r="BE104" i="25"/>
  <c r="BF104" i="25" s="1"/>
  <c r="BE106" i="25"/>
  <c r="BG106" i="25" s="1"/>
  <c r="BD25" i="25"/>
  <c r="BE74" i="25"/>
  <c r="BF74" i="25" s="1"/>
  <c r="BC45" i="25"/>
  <c r="BE45" i="25" s="1"/>
  <c r="BE36" i="25"/>
  <c r="BF36" i="25" s="1"/>
  <c r="BE35" i="25"/>
  <c r="BF35" i="25" s="1"/>
  <c r="BE44" i="25"/>
  <c r="BG44" i="25" s="1"/>
  <c r="BE34" i="25"/>
  <c r="BG34" i="25" s="1"/>
  <c r="BE54" i="25"/>
  <c r="BG54" i="25" s="1"/>
  <c r="BE37" i="25"/>
  <c r="BG37" i="25" s="1"/>
  <c r="BB7" i="25"/>
  <c r="BD7" i="25" s="1"/>
  <c r="BC4" i="25"/>
  <c r="BB17" i="25"/>
  <c r="BB15" i="25"/>
  <c r="BB14" i="25"/>
  <c r="BB16" i="25"/>
  <c r="BD5" i="25"/>
  <c r="BC5" i="25"/>
  <c r="BD6" i="25"/>
  <c r="BC6" i="25"/>
  <c r="BE85" i="25"/>
  <c r="BF85" i="25" s="1"/>
  <c r="BE56" i="25"/>
  <c r="BF56" i="25" s="1"/>
  <c r="BE46" i="25"/>
  <c r="BE156" i="25"/>
  <c r="BF156" i="25" s="1"/>
  <c r="BE154" i="25"/>
  <c r="BF154" i="25" s="1"/>
  <c r="BC66" i="25"/>
  <c r="BF86" i="25"/>
  <c r="BE24" i="8"/>
  <c r="BF24" i="8" s="1"/>
  <c r="BD64" i="25"/>
  <c r="BE65" i="25"/>
  <c r="BF65" i="25" s="1"/>
  <c r="BE36" i="8"/>
  <c r="BG36" i="8" s="1"/>
  <c r="BG84" i="25"/>
  <c r="BE7" i="8"/>
  <c r="BG7" i="8" s="1"/>
  <c r="BE144" i="25"/>
  <c r="BG144" i="25" s="1"/>
  <c r="BC37" i="8"/>
  <c r="BE37" i="8" s="1"/>
  <c r="BF37" i="8" s="1"/>
  <c r="BE155" i="25"/>
  <c r="BE157" i="25"/>
  <c r="BE125" i="25"/>
  <c r="BE6" i="8"/>
  <c r="BG6" i="8" s="1"/>
  <c r="BD25" i="8"/>
  <c r="BE27" i="8" s="1"/>
  <c r="BE87" i="25"/>
  <c r="BC14" i="8"/>
  <c r="BG34" i="8"/>
  <c r="BE67" i="25"/>
  <c r="BD15" i="8"/>
  <c r="BE146" i="25"/>
  <c r="BG146" i="25" s="1"/>
  <c r="BE4" i="8"/>
  <c r="BG4" i="8" s="1"/>
  <c r="BE76" i="25"/>
  <c r="BG76" i="25" s="1"/>
  <c r="BE26" i="8"/>
  <c r="BG26" i="8" s="1"/>
  <c r="BF145" i="25"/>
  <c r="BG145" i="25"/>
  <c r="BF147" i="25"/>
  <c r="BG147" i="25"/>
  <c r="BD17" i="8"/>
  <c r="BF117" i="25"/>
  <c r="BE107" i="25"/>
  <c r="BE105" i="25"/>
  <c r="BD16" i="8"/>
  <c r="B62" i="21"/>
  <c r="Q35" i="3"/>
  <c r="R35" i="3" s="1"/>
  <c r="E11" i="1" s="1"/>
  <c r="C36" i="3"/>
  <c r="BE75" i="25"/>
  <c r="BE77" i="25"/>
  <c r="B17" i="10"/>
  <c r="A58" i="19" s="1"/>
  <c r="B54" i="19"/>
  <c r="C17" i="10"/>
  <c r="Q16" i="10"/>
  <c r="B7" i="6"/>
  <c r="B62" i="20"/>
  <c r="BF5" i="8"/>
  <c r="BG5" i="8"/>
  <c r="BG117" i="25" l="1"/>
  <c r="BG134" i="25"/>
  <c r="BG136" i="25"/>
  <c r="BE114" i="25"/>
  <c r="BF114" i="25" s="1"/>
  <c r="BE137" i="25"/>
  <c r="BG137" i="25" s="1"/>
  <c r="BG115" i="25"/>
  <c r="BE55" i="25"/>
  <c r="BG55" i="25" s="1"/>
  <c r="BF135" i="25"/>
  <c r="BE25" i="25"/>
  <c r="BF25" i="25" s="1"/>
  <c r="BF46" i="25"/>
  <c r="BG97" i="25"/>
  <c r="BD24" i="25"/>
  <c r="BE24" i="25" s="1"/>
  <c r="BG24" i="25" s="1"/>
  <c r="BE126" i="25"/>
  <c r="BG126" i="25" s="1"/>
  <c r="BG35" i="25"/>
  <c r="BG36" i="25"/>
  <c r="BG125" i="25"/>
  <c r="BE96" i="25"/>
  <c r="BF96" i="25" s="1"/>
  <c r="BF94" i="25"/>
  <c r="BG74" i="25"/>
  <c r="BF95" i="25"/>
  <c r="BF106" i="25"/>
  <c r="BG127" i="25"/>
  <c r="BG104" i="25"/>
  <c r="BE27" i="25"/>
  <c r="BF27" i="25" s="1"/>
  <c r="BG116" i="25"/>
  <c r="BG45" i="25"/>
  <c r="BF45" i="25"/>
  <c r="BE47" i="25"/>
  <c r="BG47" i="25" s="1"/>
  <c r="BF44" i="25"/>
  <c r="BG57" i="25"/>
  <c r="BC7" i="25"/>
  <c r="BE5" i="25" s="1"/>
  <c r="BF34" i="25"/>
  <c r="BF54" i="25"/>
  <c r="BF37" i="25"/>
  <c r="BE6" i="25"/>
  <c r="BF6" i="25" s="1"/>
  <c r="BD14" i="25"/>
  <c r="BC14" i="25"/>
  <c r="BD15" i="25"/>
  <c r="BC15" i="25"/>
  <c r="BC17" i="25"/>
  <c r="BD17" i="25"/>
  <c r="BC16" i="25"/>
  <c r="BD16" i="25"/>
  <c r="BE4" i="25"/>
  <c r="BG4" i="25" s="1"/>
  <c r="BG85" i="25"/>
  <c r="BH86" i="25" s="1"/>
  <c r="BK86" i="25" s="1"/>
  <c r="BG46" i="25"/>
  <c r="BG56" i="25"/>
  <c r="BG154" i="25"/>
  <c r="BG156" i="25"/>
  <c r="BE64" i="25"/>
  <c r="BF64" i="25" s="1"/>
  <c r="BG67" i="25"/>
  <c r="BE66" i="25"/>
  <c r="BF66" i="25" s="1"/>
  <c r="BG65" i="25"/>
  <c r="BG24" i="8"/>
  <c r="BF36" i="8"/>
  <c r="BF144" i="25"/>
  <c r="BH147" i="25" s="1"/>
  <c r="BF7" i="8"/>
  <c r="BF6" i="8"/>
  <c r="BH6" i="8" s="1"/>
  <c r="BF125" i="25"/>
  <c r="BG37" i="8"/>
  <c r="BH37" i="8" s="1"/>
  <c r="BF157" i="25"/>
  <c r="BG157" i="25"/>
  <c r="BE35" i="8"/>
  <c r="BF35" i="8" s="1"/>
  <c r="BG155" i="25"/>
  <c r="BF155" i="25"/>
  <c r="BF146" i="25"/>
  <c r="BH146" i="25" s="1"/>
  <c r="BE16" i="8"/>
  <c r="BG16" i="8" s="1"/>
  <c r="BE25" i="8"/>
  <c r="BG25" i="8" s="1"/>
  <c r="BG27" i="8"/>
  <c r="BF27" i="8"/>
  <c r="BG87" i="25"/>
  <c r="BF87" i="25"/>
  <c r="BF4" i="8"/>
  <c r="BE17" i="8"/>
  <c r="BF17" i="8" s="1"/>
  <c r="BF67" i="25"/>
  <c r="BF26" i="8"/>
  <c r="BG124" i="25"/>
  <c r="BF124" i="25"/>
  <c r="BF76" i="25"/>
  <c r="BE15" i="8"/>
  <c r="BF15" i="8" s="1"/>
  <c r="BE14" i="8"/>
  <c r="BF14" i="8" s="1"/>
  <c r="BG107" i="25"/>
  <c r="BF107" i="25"/>
  <c r="BG105" i="25"/>
  <c r="BF105" i="25"/>
  <c r="BF77" i="25"/>
  <c r="BG77" i="25"/>
  <c r="B15" i="6"/>
  <c r="B66" i="20"/>
  <c r="C18" i="10"/>
  <c r="B58" i="19"/>
  <c r="B18" i="10"/>
  <c r="Q17" i="10"/>
  <c r="BF75" i="25"/>
  <c r="BG75" i="25"/>
  <c r="B66" i="21"/>
  <c r="C37" i="3"/>
  <c r="Q36" i="3"/>
  <c r="R36" i="3" s="1"/>
  <c r="G50" i="1" s="1"/>
  <c r="BF55" i="25" l="1"/>
  <c r="BH56" i="25" s="1"/>
  <c r="BK56" i="25" s="1"/>
  <c r="BH136" i="25"/>
  <c r="BJ136" i="25" s="1"/>
  <c r="BG114" i="25"/>
  <c r="BF137" i="25"/>
  <c r="BH137" i="25" s="1"/>
  <c r="BJ137" i="25" s="1"/>
  <c r="BH115" i="25"/>
  <c r="BK115" i="25" s="1"/>
  <c r="BH135" i="25"/>
  <c r="BJ135" i="25" s="1"/>
  <c r="BF126" i="25"/>
  <c r="BH126" i="25" s="1"/>
  <c r="BH97" i="25"/>
  <c r="BK97" i="25" s="1"/>
  <c r="BE26" i="25"/>
  <c r="BF26" i="25" s="1"/>
  <c r="BG25" i="25"/>
  <c r="BF24" i="25"/>
  <c r="BH36" i="25"/>
  <c r="BJ36" i="25" s="1"/>
  <c r="BH35" i="25"/>
  <c r="BJ35" i="25" s="1"/>
  <c r="BH94" i="25"/>
  <c r="BJ94" i="25" s="1"/>
  <c r="BG96" i="25"/>
  <c r="BH96" i="25" s="1"/>
  <c r="BJ96" i="25" s="1"/>
  <c r="BG27" i="25"/>
  <c r="BH116" i="25"/>
  <c r="BK116" i="25" s="1"/>
  <c r="BF47" i="25"/>
  <c r="BH44" i="25" s="1"/>
  <c r="BI44" i="25" s="1"/>
  <c r="BH46" i="25"/>
  <c r="BI46" i="25" s="1"/>
  <c r="BH57" i="25"/>
  <c r="BK57" i="25" s="1"/>
  <c r="BE7" i="25"/>
  <c r="BF7" i="25" s="1"/>
  <c r="BH54" i="25"/>
  <c r="BI54" i="25" s="1"/>
  <c r="BH37" i="25"/>
  <c r="BI37" i="25" s="1"/>
  <c r="BH34" i="25"/>
  <c r="BI34" i="25" s="1"/>
  <c r="BG6" i="25"/>
  <c r="BF4" i="25"/>
  <c r="BE15" i="25"/>
  <c r="BE17" i="25"/>
  <c r="BE16" i="25"/>
  <c r="BE14" i="25"/>
  <c r="BG5" i="25"/>
  <c r="BF5" i="25"/>
  <c r="BH85" i="25"/>
  <c r="BK85" i="25" s="1"/>
  <c r="BG64" i="25"/>
  <c r="BH67" i="25" s="1"/>
  <c r="BI67" i="25" s="1"/>
  <c r="BH45" i="25"/>
  <c r="BI45" i="25" s="1"/>
  <c r="BI146" i="25"/>
  <c r="BH144" i="25"/>
  <c r="BJ144" i="25" s="1"/>
  <c r="BH5" i="8"/>
  <c r="BJ5" i="8" s="1"/>
  <c r="BI37" i="8"/>
  <c r="BG66" i="25"/>
  <c r="BH66" i="25" s="1"/>
  <c r="BI66" i="25" s="1"/>
  <c r="BH7" i="8"/>
  <c r="BJ7" i="8" s="1"/>
  <c r="BF16" i="8"/>
  <c r="BH34" i="8"/>
  <c r="BK34" i="8" s="1"/>
  <c r="BH155" i="25"/>
  <c r="BI155" i="25" s="1"/>
  <c r="BH27" i="8"/>
  <c r="BJ27" i="8" s="1"/>
  <c r="BG35" i="8"/>
  <c r="BH35" i="8" s="1"/>
  <c r="BI35" i="8" s="1"/>
  <c r="BH154" i="25"/>
  <c r="BH157" i="25"/>
  <c r="BH156" i="25"/>
  <c r="BG14" i="8"/>
  <c r="BI86" i="25"/>
  <c r="BH145" i="25"/>
  <c r="BI145" i="25" s="1"/>
  <c r="BH4" i="8"/>
  <c r="BJ4" i="8" s="1"/>
  <c r="BH24" i="8"/>
  <c r="BK24" i="8" s="1"/>
  <c r="BG17" i="8"/>
  <c r="BF25" i="8"/>
  <c r="BH25" i="8" s="1"/>
  <c r="BK146" i="25"/>
  <c r="BH87" i="25"/>
  <c r="BH84" i="25"/>
  <c r="BJ86" i="25"/>
  <c r="BH127" i="25"/>
  <c r="BH124" i="25"/>
  <c r="BJ146" i="25"/>
  <c r="BG15" i="8"/>
  <c r="BJ37" i="8"/>
  <c r="BK37" i="8"/>
  <c r="BI147" i="25"/>
  <c r="BJ147" i="25"/>
  <c r="BK147" i="25"/>
  <c r="BH77" i="25"/>
  <c r="BI77" i="25" s="1"/>
  <c r="BH74" i="25"/>
  <c r="BI74" i="25" s="1"/>
  <c r="BH104" i="25"/>
  <c r="BH107" i="25"/>
  <c r="BH106" i="25"/>
  <c r="BH105" i="25"/>
  <c r="BH75" i="25"/>
  <c r="BH76" i="25"/>
  <c r="B23" i="6"/>
  <c r="B70" i="20"/>
  <c r="A62" i="19"/>
  <c r="F7" i="26"/>
  <c r="C38" i="3"/>
  <c r="Q37" i="3"/>
  <c r="R37" i="3" s="1"/>
  <c r="G45" i="1" s="1"/>
  <c r="B70" i="21"/>
  <c r="B62" i="19"/>
  <c r="Q18" i="10"/>
  <c r="BI6" i="8"/>
  <c r="BJ6" i="8"/>
  <c r="BK6" i="8"/>
  <c r="BI137" i="25" l="1"/>
  <c r="BH125" i="25"/>
  <c r="BH55" i="25"/>
  <c r="BK55" i="25" s="1"/>
  <c r="BI136" i="25"/>
  <c r="BK136" i="25"/>
  <c r="BJ115" i="25"/>
  <c r="BK135" i="25"/>
  <c r="BH114" i="25"/>
  <c r="BH117" i="25"/>
  <c r="BK137" i="25"/>
  <c r="BH134" i="25"/>
  <c r="BK134" i="25" s="1"/>
  <c r="BJ97" i="25"/>
  <c r="BI97" i="25"/>
  <c r="BI115" i="25"/>
  <c r="BI135" i="25"/>
  <c r="BK36" i="25"/>
  <c r="BH24" i="25"/>
  <c r="BK24" i="25" s="1"/>
  <c r="BI36" i="25"/>
  <c r="BG26" i="25"/>
  <c r="BH26" i="25" s="1"/>
  <c r="BI26" i="25" s="1"/>
  <c r="BK35" i="25"/>
  <c r="BI35" i="25"/>
  <c r="BH27" i="25"/>
  <c r="BJ27" i="25" s="1"/>
  <c r="BJ57" i="25"/>
  <c r="BH95" i="25"/>
  <c r="BJ95" i="25" s="1"/>
  <c r="BK94" i="25"/>
  <c r="BI94" i="25"/>
  <c r="BK96" i="25"/>
  <c r="BI96" i="25"/>
  <c r="BI116" i="25"/>
  <c r="BJ116" i="25"/>
  <c r="BK46" i="25"/>
  <c r="BK37" i="25"/>
  <c r="BK44" i="25"/>
  <c r="BJ44" i="25"/>
  <c r="BH47" i="25"/>
  <c r="BK47" i="25" s="1"/>
  <c r="BK54" i="25"/>
  <c r="BJ46" i="25"/>
  <c r="BI57" i="25"/>
  <c r="BJ54" i="25"/>
  <c r="BG7" i="25"/>
  <c r="BH7" i="25" s="1"/>
  <c r="BI7" i="25" s="1"/>
  <c r="K78" i="23" s="1"/>
  <c r="BJ37" i="25"/>
  <c r="BJ34" i="25"/>
  <c r="BK34" i="25"/>
  <c r="BF17" i="25"/>
  <c r="BG17" i="25"/>
  <c r="BG15" i="25"/>
  <c r="BF15" i="25"/>
  <c r="BF14" i="25"/>
  <c r="BG14" i="25"/>
  <c r="BG16" i="25"/>
  <c r="BF16" i="25"/>
  <c r="BH6" i="25"/>
  <c r="BH5" i="25"/>
  <c r="BJ45" i="25"/>
  <c r="BJ85" i="25"/>
  <c r="BK45" i="25"/>
  <c r="BI85" i="25"/>
  <c r="BH64" i="25"/>
  <c r="BJ64" i="25" s="1"/>
  <c r="BI56" i="25"/>
  <c r="BJ56" i="25"/>
  <c r="BK144" i="25"/>
  <c r="BJ67" i="25"/>
  <c r="BK67" i="25"/>
  <c r="BI144" i="25"/>
  <c r="BI27" i="8"/>
  <c r="BK145" i="25"/>
  <c r="BJ34" i="8"/>
  <c r="BI34" i="8"/>
  <c r="BI7" i="8"/>
  <c r="BK27" i="8"/>
  <c r="BJ145" i="25"/>
  <c r="BK7" i="8"/>
  <c r="BK5" i="8"/>
  <c r="BH15" i="8"/>
  <c r="BJ15" i="8" s="1"/>
  <c r="BK66" i="25"/>
  <c r="BJ66" i="25"/>
  <c r="BH65" i="25"/>
  <c r="BI5" i="8"/>
  <c r="BK35" i="8"/>
  <c r="BJ155" i="25"/>
  <c r="BK155" i="25"/>
  <c r="BI24" i="8"/>
  <c r="BJ35" i="8"/>
  <c r="BH36" i="8"/>
  <c r="BI36" i="8" s="1"/>
  <c r="BH17" i="8"/>
  <c r="BI17" i="8" s="1"/>
  <c r="BI4" i="8"/>
  <c r="BJ24" i="8"/>
  <c r="BH14" i="8"/>
  <c r="BI14" i="8" s="1"/>
  <c r="BK156" i="25"/>
  <c r="BJ156" i="25"/>
  <c r="BI156" i="25"/>
  <c r="BK4" i="8"/>
  <c r="BK157" i="25"/>
  <c r="BJ157" i="25"/>
  <c r="BI157" i="25"/>
  <c r="BJ154" i="25"/>
  <c r="BI154" i="25"/>
  <c r="BK154" i="25"/>
  <c r="BH26" i="8"/>
  <c r="BK26" i="8" s="1"/>
  <c r="BK25" i="8"/>
  <c r="BI25" i="8"/>
  <c r="BJ25" i="8"/>
  <c r="BK77" i="25"/>
  <c r="BJ84" i="25"/>
  <c r="BK84" i="25"/>
  <c r="BI84" i="25"/>
  <c r="BI87" i="25"/>
  <c r="BK87" i="25"/>
  <c r="BJ87" i="25"/>
  <c r="BJ77" i="25"/>
  <c r="BK127" i="25"/>
  <c r="BI127" i="25"/>
  <c r="BJ127" i="25"/>
  <c r="BI125" i="25"/>
  <c r="BJ125" i="25"/>
  <c r="BK125" i="25"/>
  <c r="BJ126" i="25"/>
  <c r="BI126" i="25"/>
  <c r="BK126" i="25"/>
  <c r="BK124" i="25"/>
  <c r="BJ124" i="25"/>
  <c r="BI124" i="25"/>
  <c r="BH16" i="8"/>
  <c r="BJ16" i="8" s="1"/>
  <c r="BL147" i="25"/>
  <c r="BL146" i="25"/>
  <c r="BK74" i="25"/>
  <c r="BK105" i="25"/>
  <c r="BJ105" i="25"/>
  <c r="BI105" i="25"/>
  <c r="BK106" i="25"/>
  <c r="BI106" i="25"/>
  <c r="BJ106" i="25"/>
  <c r="BJ74" i="25"/>
  <c r="BK107" i="25"/>
  <c r="BJ107" i="25"/>
  <c r="BI107" i="25"/>
  <c r="BK104" i="25"/>
  <c r="BJ104" i="25"/>
  <c r="BI104" i="25"/>
  <c r="B31" i="6"/>
  <c r="B74" i="20"/>
  <c r="BJ76" i="25"/>
  <c r="BK76" i="25"/>
  <c r="BI76" i="25"/>
  <c r="B74" i="21"/>
  <c r="Q38" i="3"/>
  <c r="R38" i="3" s="1"/>
  <c r="G40" i="1" s="1"/>
  <c r="C39" i="3"/>
  <c r="BK75" i="25"/>
  <c r="BJ75" i="25"/>
  <c r="BI75" i="25"/>
  <c r="B5" i="15"/>
  <c r="F25" i="5"/>
  <c r="BL136" i="25" l="1"/>
  <c r="BO136" i="25" s="1"/>
  <c r="BI55" i="25"/>
  <c r="BJ55" i="25"/>
  <c r="BL137" i="25"/>
  <c r="BO137" i="25" s="1"/>
  <c r="BJ134" i="25"/>
  <c r="BI134" i="25"/>
  <c r="BK117" i="25"/>
  <c r="BI117" i="25"/>
  <c r="BJ117" i="25"/>
  <c r="BJ114" i="25"/>
  <c r="BK114" i="25"/>
  <c r="BI114" i="25"/>
  <c r="BI24" i="25"/>
  <c r="BK27" i="25"/>
  <c r="BI27" i="25"/>
  <c r="BJ24" i="25"/>
  <c r="BH25" i="25"/>
  <c r="BK25" i="25" s="1"/>
  <c r="BJ26" i="25"/>
  <c r="BK26" i="25"/>
  <c r="BI95" i="25"/>
  <c r="BK95" i="25"/>
  <c r="BL96" i="25"/>
  <c r="BO96" i="25" s="1"/>
  <c r="BL97" i="25"/>
  <c r="BM97" i="25" s="1"/>
  <c r="BJ47" i="25"/>
  <c r="BL36" i="25"/>
  <c r="BM36" i="25" s="1"/>
  <c r="BI47" i="25"/>
  <c r="BL37" i="25"/>
  <c r="BN37" i="25" s="1"/>
  <c r="BL35" i="25"/>
  <c r="BO35" i="25" s="1"/>
  <c r="BH4" i="25"/>
  <c r="BI4" i="25" s="1"/>
  <c r="BL34" i="25"/>
  <c r="BM34" i="25" s="1"/>
  <c r="BJ7" i="25"/>
  <c r="BK7" i="25"/>
  <c r="BL44" i="25"/>
  <c r="BM44" i="25" s="1"/>
  <c r="BH16" i="25"/>
  <c r="BH15" i="25"/>
  <c r="BH14" i="25"/>
  <c r="BH17" i="25"/>
  <c r="BL45" i="25"/>
  <c r="BO45" i="25" s="1"/>
  <c r="BI5" i="25"/>
  <c r="K76" i="23" s="1"/>
  <c r="BJ5" i="25"/>
  <c r="BK5" i="25"/>
  <c r="BJ6" i="25"/>
  <c r="BK6" i="25"/>
  <c r="BI6" i="25"/>
  <c r="BI64" i="25"/>
  <c r="BL56" i="25"/>
  <c r="BL57" i="25"/>
  <c r="BK64" i="25"/>
  <c r="BM147" i="25"/>
  <c r="BJ14" i="8"/>
  <c r="BL67" i="25"/>
  <c r="BK14" i="8"/>
  <c r="BL66" i="25"/>
  <c r="BL144" i="25"/>
  <c r="BN144" i="25" s="1"/>
  <c r="BL145" i="25"/>
  <c r="BM145" i="25" s="1"/>
  <c r="BI15" i="8"/>
  <c r="BL7" i="8"/>
  <c r="BN7" i="8" s="1"/>
  <c r="BL6" i="8"/>
  <c r="BN6" i="8" s="1"/>
  <c r="BK15" i="8"/>
  <c r="BJ17" i="8"/>
  <c r="BL4" i="8"/>
  <c r="BN4" i="8" s="1"/>
  <c r="BL35" i="8"/>
  <c r="BM35" i="8" s="1"/>
  <c r="BL34" i="8"/>
  <c r="BN34" i="8" s="1"/>
  <c r="BK65" i="25"/>
  <c r="BJ65" i="25"/>
  <c r="BI65" i="25"/>
  <c r="BK17" i="8"/>
  <c r="BJ36" i="8"/>
  <c r="BK36" i="8"/>
  <c r="BL5" i="8"/>
  <c r="BM5" i="8" s="1"/>
  <c r="BL24" i="8"/>
  <c r="BN24" i="8" s="1"/>
  <c r="BL157" i="25"/>
  <c r="BL156" i="25"/>
  <c r="BL155" i="25"/>
  <c r="BL154" i="25"/>
  <c r="BL25" i="8"/>
  <c r="BM25" i="8" s="1"/>
  <c r="BI26" i="8"/>
  <c r="BJ26" i="8"/>
  <c r="BL87" i="25"/>
  <c r="BN87" i="25" s="1"/>
  <c r="BL84" i="25"/>
  <c r="BL85" i="25"/>
  <c r="BL86" i="25"/>
  <c r="BI16" i="8"/>
  <c r="BL124" i="25"/>
  <c r="BL125" i="25"/>
  <c r="BK16" i="8"/>
  <c r="BL127" i="25"/>
  <c r="BL126" i="25"/>
  <c r="BN147" i="25"/>
  <c r="BO147" i="25"/>
  <c r="BN146" i="25"/>
  <c r="BO146" i="25"/>
  <c r="BM146" i="25"/>
  <c r="BL105" i="25"/>
  <c r="BL104" i="25"/>
  <c r="BL107" i="25"/>
  <c r="BL106" i="25"/>
  <c r="BL75" i="25"/>
  <c r="BM75" i="25" s="1"/>
  <c r="BL74" i="25"/>
  <c r="B78" i="21"/>
  <c r="C40" i="3"/>
  <c r="Q39" i="3"/>
  <c r="R39" i="3" s="1"/>
  <c r="G33" i="1" s="1"/>
  <c r="B8" i="6"/>
  <c r="B78" i="20"/>
  <c r="B6" i="15"/>
  <c r="A3" i="6"/>
  <c r="BL77" i="25"/>
  <c r="BL76" i="25"/>
  <c r="BN57" i="25" l="1"/>
  <c r="BN56" i="25"/>
  <c r="BN136" i="25"/>
  <c r="BN137" i="25"/>
  <c r="BM136" i="25"/>
  <c r="BL54" i="25"/>
  <c r="BN54" i="25" s="1"/>
  <c r="BL55" i="25"/>
  <c r="BO55" i="25" s="1"/>
  <c r="BL135" i="25"/>
  <c r="BO135" i="25" s="1"/>
  <c r="BM137" i="25"/>
  <c r="BL134" i="25"/>
  <c r="BN134" i="25" s="1"/>
  <c r="BL114" i="25"/>
  <c r="BO114" i="25" s="1"/>
  <c r="BL115" i="25"/>
  <c r="BN115" i="25" s="1"/>
  <c r="BL116" i="25"/>
  <c r="BN116" i="25" s="1"/>
  <c r="BL117" i="25"/>
  <c r="BO117" i="25" s="1"/>
  <c r="BI25" i="25"/>
  <c r="BJ25" i="25"/>
  <c r="BL26" i="25"/>
  <c r="BM26" i="25" s="1"/>
  <c r="BN97" i="25"/>
  <c r="BO37" i="25"/>
  <c r="BL27" i="25"/>
  <c r="BM27" i="25" s="1"/>
  <c r="BN36" i="25"/>
  <c r="BN34" i="25"/>
  <c r="BL94" i="25"/>
  <c r="BN94" i="25" s="1"/>
  <c r="BL95" i="25"/>
  <c r="BM95" i="25" s="1"/>
  <c r="BO97" i="25"/>
  <c r="BM96" i="25"/>
  <c r="BN96" i="25"/>
  <c r="BL47" i="25"/>
  <c r="BM47" i="25" s="1"/>
  <c r="BL46" i="25"/>
  <c r="BN46" i="25" s="1"/>
  <c r="BO36" i="25"/>
  <c r="BO34" i="25"/>
  <c r="BM37" i="25"/>
  <c r="BN35" i="25"/>
  <c r="BM35" i="25"/>
  <c r="BJ4" i="25"/>
  <c r="BK4" i="25"/>
  <c r="BM66" i="25"/>
  <c r="BO56" i="25"/>
  <c r="BN67" i="25"/>
  <c r="BN44" i="25"/>
  <c r="BM57" i="25"/>
  <c r="BO44" i="25"/>
  <c r="BM56" i="25"/>
  <c r="BN45" i="25"/>
  <c r="BM45" i="25"/>
  <c r="BI17" i="25"/>
  <c r="BJ17" i="25"/>
  <c r="BK17" i="25"/>
  <c r="BI14" i="25"/>
  <c r="BK14" i="25"/>
  <c r="BJ14" i="25"/>
  <c r="BI15" i="25"/>
  <c r="BJ15" i="25"/>
  <c r="BK15" i="25"/>
  <c r="BK16" i="25"/>
  <c r="BJ16" i="25"/>
  <c r="BI16" i="25"/>
  <c r="K77" i="23"/>
  <c r="BL6" i="25"/>
  <c r="BL7" i="25"/>
  <c r="K75" i="23"/>
  <c r="BO57" i="25"/>
  <c r="BO66" i="25"/>
  <c r="BN66" i="25"/>
  <c r="BO6" i="8"/>
  <c r="BM67" i="25"/>
  <c r="BO5" i="8"/>
  <c r="BO144" i="25"/>
  <c r="BN5" i="8"/>
  <c r="BO145" i="25"/>
  <c r="BN145" i="25"/>
  <c r="BL15" i="8"/>
  <c r="BM15" i="8" s="1"/>
  <c r="BO67" i="25"/>
  <c r="BM144" i="25"/>
  <c r="BL14" i="8"/>
  <c r="BO14" i="8" s="1"/>
  <c r="BM6" i="8"/>
  <c r="BO7" i="8"/>
  <c r="BO4" i="8"/>
  <c r="BM7" i="8"/>
  <c r="BM4" i="8"/>
  <c r="BO34" i="8"/>
  <c r="BO35" i="8"/>
  <c r="BM34" i="8"/>
  <c r="BN35" i="8"/>
  <c r="BL65" i="25"/>
  <c r="BM65" i="25" s="1"/>
  <c r="BL37" i="8"/>
  <c r="BN37" i="8" s="1"/>
  <c r="BL64" i="25"/>
  <c r="BO24" i="8"/>
  <c r="BL36" i="8"/>
  <c r="BN36" i="8" s="1"/>
  <c r="BM24" i="8"/>
  <c r="BN25" i="8"/>
  <c r="BO25" i="8"/>
  <c r="BM154" i="25"/>
  <c r="BO154" i="25"/>
  <c r="BN154" i="25"/>
  <c r="BM155" i="25"/>
  <c r="BO155" i="25"/>
  <c r="BN155" i="25"/>
  <c r="BO156" i="25"/>
  <c r="BN156" i="25"/>
  <c r="BM156" i="25"/>
  <c r="BN157" i="25"/>
  <c r="BM157" i="25"/>
  <c r="BO157" i="25"/>
  <c r="BL27" i="8"/>
  <c r="BL26" i="8"/>
  <c r="BM87" i="25"/>
  <c r="BO87" i="25"/>
  <c r="BM86" i="25"/>
  <c r="BO86" i="25"/>
  <c r="BN86" i="25"/>
  <c r="BM85" i="25"/>
  <c r="BN85" i="25"/>
  <c r="BO85" i="25"/>
  <c r="BN84" i="25"/>
  <c r="BO84" i="25"/>
  <c r="BM84" i="25"/>
  <c r="BL16" i="8"/>
  <c r="BN16" i="8" s="1"/>
  <c r="BL17" i="8"/>
  <c r="BN17" i="8" s="1"/>
  <c r="BO125" i="25"/>
  <c r="BN125" i="25"/>
  <c r="BM125" i="25"/>
  <c r="BM124" i="25"/>
  <c r="BN124" i="25"/>
  <c r="BO124" i="25"/>
  <c r="BM127" i="25"/>
  <c r="BN127" i="25"/>
  <c r="BO127" i="25"/>
  <c r="BN126" i="25"/>
  <c r="BM126" i="25"/>
  <c r="BO126" i="25"/>
  <c r="BN75" i="25"/>
  <c r="BO75" i="25"/>
  <c r="BO106" i="25"/>
  <c r="BM106" i="25"/>
  <c r="BN106" i="25"/>
  <c r="BM104" i="25"/>
  <c r="BO104" i="25"/>
  <c r="BN104" i="25"/>
  <c r="BO107" i="25"/>
  <c r="BM107" i="25"/>
  <c r="BN107" i="25"/>
  <c r="BM105" i="25"/>
  <c r="BN105" i="25"/>
  <c r="BO105" i="25"/>
  <c r="BN77" i="25"/>
  <c r="BM77" i="25"/>
  <c r="BO77" i="25"/>
  <c r="B82" i="20"/>
  <c r="B16" i="6"/>
  <c r="BO74" i="25"/>
  <c r="BM74" i="25"/>
  <c r="BN74" i="25"/>
  <c r="Q40" i="3"/>
  <c r="R40" i="3" s="1"/>
  <c r="G25" i="1" s="1"/>
  <c r="B82" i="21"/>
  <c r="C41" i="3"/>
  <c r="BO76" i="25"/>
  <c r="BN76" i="25"/>
  <c r="BM76" i="25"/>
  <c r="A11" i="6"/>
  <c r="A2" i="20"/>
  <c r="BN55" i="25" l="1"/>
  <c r="BM55" i="25"/>
  <c r="BM54" i="25"/>
  <c r="BO54" i="25"/>
  <c r="BN135" i="25"/>
  <c r="BM134" i="25"/>
  <c r="BM135" i="25"/>
  <c r="BO134" i="25"/>
  <c r="BM114" i="25"/>
  <c r="BO116" i="25"/>
  <c r="BM116" i="25"/>
  <c r="BN114" i="25"/>
  <c r="BM117" i="25"/>
  <c r="BM115" i="25"/>
  <c r="BO115" i="25"/>
  <c r="BN117" i="25"/>
  <c r="BO26" i="25"/>
  <c r="BN26" i="25"/>
  <c r="BL24" i="25"/>
  <c r="BO24" i="25" s="1"/>
  <c r="BN27" i="25"/>
  <c r="BL25" i="25"/>
  <c r="BM25" i="25" s="1"/>
  <c r="BO27" i="25"/>
  <c r="BM94" i="25"/>
  <c r="BO94" i="25"/>
  <c r="BO47" i="25"/>
  <c r="BN95" i="25"/>
  <c r="BO95" i="25"/>
  <c r="BN47" i="25"/>
  <c r="BO46" i="25"/>
  <c r="BM46" i="25"/>
  <c r="BP36" i="25"/>
  <c r="BR36" i="25" s="1"/>
  <c r="BP34" i="25"/>
  <c r="BS34" i="25" s="1"/>
  <c r="BP37" i="25"/>
  <c r="BR37" i="25" s="1"/>
  <c r="BP35" i="25"/>
  <c r="BQ35" i="25" s="1"/>
  <c r="BL5" i="25"/>
  <c r="BM5" i="25" s="1"/>
  <c r="BL4" i="25"/>
  <c r="BM4" i="25" s="1"/>
  <c r="BL17" i="25"/>
  <c r="BL16" i="25"/>
  <c r="BL15" i="25"/>
  <c r="BL14" i="25"/>
  <c r="BN7" i="25"/>
  <c r="BM7" i="25"/>
  <c r="BO7" i="25"/>
  <c r="BN6" i="25"/>
  <c r="BO6" i="25"/>
  <c r="BM6" i="25"/>
  <c r="BN14" i="8"/>
  <c r="BM14" i="8"/>
  <c r="BO15" i="8"/>
  <c r="BN15" i="8"/>
  <c r="BP145" i="25"/>
  <c r="BR145" i="25" s="1"/>
  <c r="BP146" i="25"/>
  <c r="BR146" i="25" s="1"/>
  <c r="BP147" i="25"/>
  <c r="BR147" i="25" s="1"/>
  <c r="BP144" i="25"/>
  <c r="BQ144" i="25" s="1"/>
  <c r="BP7" i="8"/>
  <c r="BR7" i="8" s="1"/>
  <c r="BP5" i="8"/>
  <c r="BQ5" i="8" s="1"/>
  <c r="BP4" i="8"/>
  <c r="BS4" i="8" s="1"/>
  <c r="BP6" i="8"/>
  <c r="BR6" i="8" s="1"/>
  <c r="BO65" i="25"/>
  <c r="BM37" i="8"/>
  <c r="BO37" i="8"/>
  <c r="BN65" i="25"/>
  <c r="BO36" i="8"/>
  <c r="BM36" i="8"/>
  <c r="BN64" i="25"/>
  <c r="BO64" i="25"/>
  <c r="BM64" i="25"/>
  <c r="BP155" i="25"/>
  <c r="BP157" i="25"/>
  <c r="BP154" i="25"/>
  <c r="BP156" i="25"/>
  <c r="BN26" i="8"/>
  <c r="BM26" i="8"/>
  <c r="BO26" i="8"/>
  <c r="BO27" i="8"/>
  <c r="BN27" i="8"/>
  <c r="BM27" i="8"/>
  <c r="BO17" i="8"/>
  <c r="BM17" i="8"/>
  <c r="BP86" i="25"/>
  <c r="BP84" i="25"/>
  <c r="BP87" i="25"/>
  <c r="BP85" i="25"/>
  <c r="BM16" i="8"/>
  <c r="BO16" i="8"/>
  <c r="BP124" i="25"/>
  <c r="BP126" i="25"/>
  <c r="BP125" i="25"/>
  <c r="BP127" i="25"/>
  <c r="BP75" i="25"/>
  <c r="BS75" i="25" s="1"/>
  <c r="BP77" i="25"/>
  <c r="BQ77" i="25" s="1"/>
  <c r="BP106" i="25"/>
  <c r="BP104" i="25"/>
  <c r="BP105" i="25"/>
  <c r="BP107" i="25"/>
  <c r="A19" i="6"/>
  <c r="A6" i="20"/>
  <c r="BP76" i="25"/>
  <c r="BP74" i="25"/>
  <c r="B86" i="20"/>
  <c r="B24" i="6"/>
  <c r="B86" i="21"/>
  <c r="Q41" i="3"/>
  <c r="R41" i="3" s="1"/>
  <c r="G20" i="1" s="1"/>
  <c r="C42" i="3"/>
  <c r="BP55" i="25" l="1"/>
  <c r="BQ55" i="25" s="1"/>
  <c r="BP57" i="25"/>
  <c r="BQ57" i="25" s="1"/>
  <c r="BP54" i="25"/>
  <c r="BQ54" i="25" s="1"/>
  <c r="BP56" i="25"/>
  <c r="BQ56" i="25" s="1"/>
  <c r="BP135" i="25"/>
  <c r="BR135" i="25" s="1"/>
  <c r="BP137" i="25"/>
  <c r="BS137" i="25" s="1"/>
  <c r="BP136" i="25"/>
  <c r="BR136" i="25" s="1"/>
  <c r="BP134" i="25"/>
  <c r="BR134" i="25" s="1"/>
  <c r="BP116" i="25"/>
  <c r="BR116" i="25" s="1"/>
  <c r="BP114" i="25"/>
  <c r="BQ114" i="25" s="1"/>
  <c r="BP115" i="25"/>
  <c r="BR115" i="25" s="1"/>
  <c r="BP117" i="25"/>
  <c r="BQ117" i="25" s="1"/>
  <c r="BN24" i="25"/>
  <c r="BM24" i="25"/>
  <c r="BO25" i="25"/>
  <c r="BN25" i="25"/>
  <c r="BP96" i="25"/>
  <c r="BR96" i="25" s="1"/>
  <c r="BP45" i="25"/>
  <c r="BR45" i="25" s="1"/>
  <c r="BP94" i="25"/>
  <c r="BQ94" i="25" s="1"/>
  <c r="BP47" i="25"/>
  <c r="BQ47" i="25" s="1"/>
  <c r="BR34" i="25"/>
  <c r="BQ34" i="25"/>
  <c r="BP97" i="25"/>
  <c r="BR97" i="25" s="1"/>
  <c r="BP95" i="25"/>
  <c r="BQ95" i="25" s="1"/>
  <c r="BS36" i="25"/>
  <c r="BP44" i="25"/>
  <c r="BR44" i="25" s="1"/>
  <c r="BP46" i="25"/>
  <c r="BQ46" i="25" s="1"/>
  <c r="BQ36" i="25"/>
  <c r="BQ37" i="25"/>
  <c r="BS35" i="25"/>
  <c r="BR35" i="25"/>
  <c r="BS37" i="25"/>
  <c r="BO4" i="25"/>
  <c r="BN4" i="25"/>
  <c r="BO5" i="25"/>
  <c r="BN5" i="25"/>
  <c r="BM14" i="25"/>
  <c r="BO14" i="25"/>
  <c r="BN14" i="25"/>
  <c r="BO15" i="25"/>
  <c r="BN15" i="25"/>
  <c r="BM15" i="25"/>
  <c r="BO16" i="25"/>
  <c r="BM16" i="25"/>
  <c r="BN16" i="25"/>
  <c r="BN17" i="25"/>
  <c r="BM17" i="25"/>
  <c r="BO17" i="25"/>
  <c r="BS145" i="25"/>
  <c r="BQ145" i="25"/>
  <c r="BQ147" i="25"/>
  <c r="BS147" i="25"/>
  <c r="BQ146" i="25"/>
  <c r="BS146" i="25"/>
  <c r="BQ4" i="8"/>
  <c r="BR4" i="8"/>
  <c r="BS7" i="8"/>
  <c r="BQ7" i="8"/>
  <c r="BS5" i="8"/>
  <c r="BR5" i="8"/>
  <c r="BQ6" i="8"/>
  <c r="BS144" i="25"/>
  <c r="BR144" i="25"/>
  <c r="BS6" i="8"/>
  <c r="BP34" i="8"/>
  <c r="BR34" i="8" s="1"/>
  <c r="BP37" i="8"/>
  <c r="BS37" i="8" s="1"/>
  <c r="BP65" i="25"/>
  <c r="BR65" i="25" s="1"/>
  <c r="BP35" i="8"/>
  <c r="BQ35" i="8" s="1"/>
  <c r="BP67" i="25"/>
  <c r="BP36" i="8"/>
  <c r="BR36" i="8" s="1"/>
  <c r="BP64" i="25"/>
  <c r="BP66" i="25"/>
  <c r="BP16" i="8"/>
  <c r="BS16" i="8" s="1"/>
  <c r="BS156" i="25"/>
  <c r="BR156" i="25"/>
  <c r="BQ156" i="25"/>
  <c r="BQ154" i="25"/>
  <c r="BS154" i="25"/>
  <c r="BR154" i="25"/>
  <c r="BS157" i="25"/>
  <c r="BR157" i="25"/>
  <c r="BQ157" i="25"/>
  <c r="BQ155" i="25"/>
  <c r="BR155" i="25"/>
  <c r="BS155" i="25"/>
  <c r="BP15" i="8"/>
  <c r="BS15" i="8" s="1"/>
  <c r="BP17" i="8"/>
  <c r="BR17" i="8" s="1"/>
  <c r="BP27" i="8"/>
  <c r="BP25" i="8"/>
  <c r="BP24" i="8"/>
  <c r="BP26" i="8"/>
  <c r="BP14" i="8"/>
  <c r="BR14" i="8" s="1"/>
  <c r="BS85" i="25"/>
  <c r="BR85" i="25"/>
  <c r="BQ85" i="25"/>
  <c r="BR87" i="25"/>
  <c r="BS87" i="25"/>
  <c r="BQ87" i="25"/>
  <c r="BS84" i="25"/>
  <c r="BQ84" i="25"/>
  <c r="BR84" i="25"/>
  <c r="BR86" i="25"/>
  <c r="BS86" i="25"/>
  <c r="BQ86" i="25"/>
  <c r="BR127" i="25"/>
  <c r="BQ127" i="25"/>
  <c r="BS127" i="25"/>
  <c r="BS125" i="25"/>
  <c r="BQ125" i="25"/>
  <c r="BR125" i="25"/>
  <c r="BR126" i="25"/>
  <c r="BQ126" i="25"/>
  <c r="BS126" i="25"/>
  <c r="BQ124" i="25"/>
  <c r="BR124" i="25"/>
  <c r="BS124" i="25"/>
  <c r="BQ75" i="25"/>
  <c r="BR75" i="25"/>
  <c r="BR77" i="25"/>
  <c r="BS77" i="25"/>
  <c r="BS107" i="25"/>
  <c r="BR107" i="25"/>
  <c r="BQ107" i="25"/>
  <c r="BS105" i="25"/>
  <c r="BQ105" i="25"/>
  <c r="BR105" i="25"/>
  <c r="BS104" i="25"/>
  <c r="BR104" i="25"/>
  <c r="BQ104" i="25"/>
  <c r="BR106" i="25"/>
  <c r="BS106" i="25"/>
  <c r="BQ106" i="25"/>
  <c r="C43" i="3"/>
  <c r="Q42" i="3"/>
  <c r="R42" i="3" s="1"/>
  <c r="G15" i="1" s="1"/>
  <c r="B90" i="21"/>
  <c r="B32" i="6"/>
  <c r="B90" i="20"/>
  <c r="A10" i="20"/>
  <c r="A27" i="6"/>
  <c r="BR74" i="25"/>
  <c r="BQ74" i="25"/>
  <c r="BS74" i="25"/>
  <c r="BS76" i="25"/>
  <c r="BQ76" i="25"/>
  <c r="BR76" i="25"/>
  <c r="BS55" i="25" l="1"/>
  <c r="BR55" i="25"/>
  <c r="BS57" i="25"/>
  <c r="BR57" i="25"/>
  <c r="BS135" i="25"/>
  <c r="BR54" i="25"/>
  <c r="BQ135" i="25"/>
  <c r="BS54" i="25"/>
  <c r="BS134" i="25"/>
  <c r="BS56" i="25"/>
  <c r="BR56" i="25"/>
  <c r="BQ134" i="25"/>
  <c r="BR137" i="25"/>
  <c r="BQ136" i="25"/>
  <c r="BS136" i="25"/>
  <c r="BQ137" i="25"/>
  <c r="BQ115" i="25"/>
  <c r="BS117" i="25"/>
  <c r="BS115" i="25"/>
  <c r="BQ116" i="25"/>
  <c r="BS116" i="25"/>
  <c r="BS114" i="25"/>
  <c r="BR114" i="25"/>
  <c r="BR117" i="25"/>
  <c r="BP24" i="25"/>
  <c r="BQ24" i="25" s="1"/>
  <c r="BP27" i="25"/>
  <c r="BS27" i="25" s="1"/>
  <c r="BP26" i="25"/>
  <c r="BQ26" i="25" s="1"/>
  <c r="BP25" i="25"/>
  <c r="BQ25" i="25" s="1"/>
  <c r="BS47" i="25"/>
  <c r="BS97" i="25"/>
  <c r="BS96" i="25"/>
  <c r="BQ96" i="25"/>
  <c r="BQ45" i="25"/>
  <c r="BS45" i="25"/>
  <c r="BR94" i="25"/>
  <c r="BS94" i="25"/>
  <c r="BR47" i="25"/>
  <c r="BQ97" i="25"/>
  <c r="BR46" i="25"/>
  <c r="BS46" i="25"/>
  <c r="BS95" i="25"/>
  <c r="BR95" i="25"/>
  <c r="BT35" i="25"/>
  <c r="BX35" i="25" s="1"/>
  <c r="BQ44" i="25"/>
  <c r="BS44" i="25"/>
  <c r="BT34" i="25"/>
  <c r="BW34" i="25" s="1"/>
  <c r="BT37" i="25"/>
  <c r="BX37" i="25" s="1"/>
  <c r="BP5" i="25"/>
  <c r="BR5" i="25" s="1"/>
  <c r="BP6" i="25"/>
  <c r="BR6" i="25" s="1"/>
  <c r="BT36" i="25"/>
  <c r="BW36" i="25" s="1"/>
  <c r="BP4" i="25"/>
  <c r="BQ4" i="25" s="1"/>
  <c r="BP7" i="25"/>
  <c r="BR7" i="25" s="1"/>
  <c r="BP17" i="25"/>
  <c r="BP15" i="25"/>
  <c r="BP16" i="25"/>
  <c r="BP14" i="25"/>
  <c r="BT145" i="25"/>
  <c r="BX145" i="25" s="1"/>
  <c r="BT146" i="25"/>
  <c r="BW146" i="25" s="1"/>
  <c r="BR16" i="8"/>
  <c r="BT147" i="25"/>
  <c r="BU147" i="25" s="1"/>
  <c r="BT7" i="8"/>
  <c r="BV7" i="8" s="1"/>
  <c r="BT4" i="8"/>
  <c r="BW4" i="8" s="1"/>
  <c r="BT144" i="25"/>
  <c r="BW144" i="25" s="1"/>
  <c r="BT5" i="8"/>
  <c r="BU5" i="8" s="1"/>
  <c r="BT6" i="8"/>
  <c r="BU6" i="8" s="1"/>
  <c r="BQ34" i="8"/>
  <c r="BS34" i="8"/>
  <c r="BR35" i="8"/>
  <c r="BS35" i="8"/>
  <c r="BQ16" i="8"/>
  <c r="BQ37" i="8"/>
  <c r="BQ36" i="8"/>
  <c r="BR37" i="8"/>
  <c r="BS36" i="8"/>
  <c r="BS65" i="25"/>
  <c r="BQ65" i="25"/>
  <c r="BR67" i="25"/>
  <c r="BQ67" i="25"/>
  <c r="BS67" i="25"/>
  <c r="BR66" i="25"/>
  <c r="BQ66" i="25"/>
  <c r="BS66" i="25"/>
  <c r="BR64" i="25"/>
  <c r="BS64" i="25"/>
  <c r="BQ64" i="25"/>
  <c r="BR15" i="8"/>
  <c r="BQ15" i="8"/>
  <c r="BQ17" i="8"/>
  <c r="BS17" i="8"/>
  <c r="BQ14" i="8"/>
  <c r="BT157" i="25"/>
  <c r="BT154" i="25"/>
  <c r="BT155" i="25"/>
  <c r="BT156" i="25"/>
  <c r="BS14" i="8"/>
  <c r="BR26" i="8"/>
  <c r="BQ26" i="8"/>
  <c r="BS26" i="8"/>
  <c r="BR24" i="8"/>
  <c r="BQ24" i="8"/>
  <c r="BS24" i="8"/>
  <c r="BQ25" i="8"/>
  <c r="BR25" i="8"/>
  <c r="BS25" i="8"/>
  <c r="BQ27" i="8"/>
  <c r="BR27" i="8"/>
  <c r="BS27" i="8"/>
  <c r="BT84" i="25"/>
  <c r="BT87" i="25"/>
  <c r="BT85" i="25"/>
  <c r="BT86" i="25"/>
  <c r="BT125" i="25"/>
  <c r="BT126" i="25"/>
  <c r="BT127" i="25"/>
  <c r="BT124" i="25"/>
  <c r="BT75" i="25"/>
  <c r="BV75" i="25" s="1"/>
  <c r="BT105" i="25"/>
  <c r="BT106" i="25"/>
  <c r="BT104" i="25"/>
  <c r="BT107" i="25"/>
  <c r="BT76" i="25"/>
  <c r="BT74" i="25"/>
  <c r="BT77" i="25"/>
  <c r="Q43" i="3"/>
  <c r="R43" i="3" s="1"/>
  <c r="G8" i="1" s="1"/>
  <c r="B94" i="21"/>
  <c r="A14" i="20"/>
  <c r="A4" i="6"/>
  <c r="B94" i="20"/>
  <c r="BT54" i="25" l="1"/>
  <c r="BX54" i="25" s="1"/>
  <c r="CB54" i="25" s="1"/>
  <c r="M43" i="23" s="1"/>
  <c r="BT57" i="25"/>
  <c r="BX57" i="25" s="1"/>
  <c r="K46" i="23" s="1"/>
  <c r="BS24" i="25"/>
  <c r="BT56" i="25"/>
  <c r="BX56" i="25" s="1"/>
  <c r="K45" i="23" s="1"/>
  <c r="BT136" i="25"/>
  <c r="BV136" i="25" s="1"/>
  <c r="BT55" i="25"/>
  <c r="BU55" i="25" s="1"/>
  <c r="BT134" i="25"/>
  <c r="BU134" i="25" s="1"/>
  <c r="BT135" i="25"/>
  <c r="BX135" i="25" s="1"/>
  <c r="CB135" i="25" s="1"/>
  <c r="M108" i="23" s="1"/>
  <c r="BT137" i="25"/>
  <c r="BU137" i="25" s="1"/>
  <c r="BT116" i="25"/>
  <c r="BU116" i="25" s="1"/>
  <c r="BT115" i="25"/>
  <c r="BV115" i="25" s="1"/>
  <c r="BT114" i="25"/>
  <c r="BV114" i="25" s="1"/>
  <c r="BT117" i="25"/>
  <c r="BX117" i="25" s="1"/>
  <c r="BZ117" i="25" s="1"/>
  <c r="L94" i="23" s="1"/>
  <c r="BS25" i="25"/>
  <c r="BR25" i="25"/>
  <c r="BR24" i="25"/>
  <c r="BS26" i="25"/>
  <c r="BQ27" i="25"/>
  <c r="BR26" i="25"/>
  <c r="BR27" i="25"/>
  <c r="BT97" i="25"/>
  <c r="BX97" i="25" s="1"/>
  <c r="CA97" i="25" s="1"/>
  <c r="BV37" i="25"/>
  <c r="BT94" i="25"/>
  <c r="BV94" i="25" s="1"/>
  <c r="BV34" i="25"/>
  <c r="BV35" i="25"/>
  <c r="BW35" i="25"/>
  <c r="BU35" i="25"/>
  <c r="BT96" i="25"/>
  <c r="BW96" i="25" s="1"/>
  <c r="BT46" i="25"/>
  <c r="BU46" i="25" s="1"/>
  <c r="BU36" i="25"/>
  <c r="BX36" i="25"/>
  <c r="CE36" i="25" s="1"/>
  <c r="O29" i="23" s="1"/>
  <c r="BV36" i="25"/>
  <c r="BT45" i="25"/>
  <c r="BW45" i="25" s="1"/>
  <c r="BT95" i="25"/>
  <c r="BW95" i="25" s="1"/>
  <c r="BT44" i="25"/>
  <c r="BU44" i="25" s="1"/>
  <c r="BT47" i="25"/>
  <c r="BV47" i="25" s="1"/>
  <c r="BX34" i="25"/>
  <c r="CD34" i="25" s="1"/>
  <c r="BU34" i="25"/>
  <c r="BU37" i="25"/>
  <c r="BW37" i="25"/>
  <c r="BS5" i="25"/>
  <c r="BQ5" i="25"/>
  <c r="BS6" i="25"/>
  <c r="BQ6" i="25"/>
  <c r="BR4" i="25"/>
  <c r="BS4" i="25"/>
  <c r="BQ7" i="25"/>
  <c r="BS7" i="25"/>
  <c r="BR14" i="25"/>
  <c r="BS14" i="25"/>
  <c r="BQ14" i="25"/>
  <c r="BQ16" i="25"/>
  <c r="BR16" i="25"/>
  <c r="BS16" i="25"/>
  <c r="BS15" i="25"/>
  <c r="BQ15" i="25"/>
  <c r="BR15" i="25"/>
  <c r="BR17" i="25"/>
  <c r="BS17" i="25"/>
  <c r="BQ17" i="25"/>
  <c r="BX146" i="25"/>
  <c r="CA146" i="25" s="1"/>
  <c r="BV147" i="25"/>
  <c r="BV146" i="25"/>
  <c r="BU146" i="25"/>
  <c r="BX147" i="25"/>
  <c r="CA147" i="25" s="1"/>
  <c r="BW147" i="25"/>
  <c r="BU4" i="8"/>
  <c r="BX4" i="8"/>
  <c r="CA4" i="8" s="1"/>
  <c r="Q3" i="6" s="1"/>
  <c r="BW145" i="25"/>
  <c r="BU145" i="25"/>
  <c r="BV145" i="25"/>
  <c r="BU7" i="8"/>
  <c r="BW7" i="8"/>
  <c r="BX7" i="8"/>
  <c r="CB7" i="8" s="1"/>
  <c r="M6" i="6" s="1"/>
  <c r="BV4" i="8"/>
  <c r="BU144" i="25"/>
  <c r="BX144" i="25"/>
  <c r="CA144" i="25" s="1"/>
  <c r="BV144" i="25"/>
  <c r="BW5" i="8"/>
  <c r="BX5" i="8"/>
  <c r="CB5" i="8" s="1"/>
  <c r="M4" i="6" s="1"/>
  <c r="BV5" i="8"/>
  <c r="BW6" i="8"/>
  <c r="BX6" i="8"/>
  <c r="K5" i="6" s="1"/>
  <c r="BV6" i="8"/>
  <c r="BT35" i="8"/>
  <c r="BW35" i="8" s="1"/>
  <c r="BT34" i="8"/>
  <c r="BU34" i="8" s="1"/>
  <c r="BT36" i="8"/>
  <c r="BV36" i="8" s="1"/>
  <c r="BT37" i="8"/>
  <c r="BV37" i="8" s="1"/>
  <c r="BT16" i="8"/>
  <c r="BU16" i="8" s="1"/>
  <c r="BT15" i="8"/>
  <c r="BU15" i="8" s="1"/>
  <c r="BT67" i="25"/>
  <c r="BT64" i="25"/>
  <c r="BT65" i="25"/>
  <c r="BT66" i="25"/>
  <c r="BT14" i="8"/>
  <c r="BV14" i="8" s="1"/>
  <c r="BT17" i="8"/>
  <c r="BX17" i="8" s="1"/>
  <c r="BU156" i="25"/>
  <c r="BX156" i="25"/>
  <c r="BV156" i="25"/>
  <c r="BW156" i="25"/>
  <c r="BX155" i="25"/>
  <c r="BV155" i="25"/>
  <c r="BW155" i="25"/>
  <c r="BU155" i="25"/>
  <c r="BX154" i="25"/>
  <c r="BW154" i="25"/>
  <c r="BV154" i="25"/>
  <c r="BU154" i="25"/>
  <c r="BW157" i="25"/>
  <c r="BV157" i="25"/>
  <c r="BU157" i="25"/>
  <c r="BX157" i="25"/>
  <c r="BT25" i="8"/>
  <c r="BT26" i="8"/>
  <c r="BT27" i="8"/>
  <c r="BT24" i="8"/>
  <c r="BX86" i="25"/>
  <c r="BV86" i="25"/>
  <c r="BU86" i="25"/>
  <c r="BW86" i="25"/>
  <c r="BW85" i="25"/>
  <c r="BU85" i="25"/>
  <c r="BV85" i="25"/>
  <c r="BX85" i="25"/>
  <c r="BV87" i="25"/>
  <c r="BX87" i="25"/>
  <c r="BW87" i="25"/>
  <c r="BU87" i="25"/>
  <c r="BW84" i="25"/>
  <c r="BU84" i="25"/>
  <c r="BX84" i="25"/>
  <c r="BV84" i="25"/>
  <c r="BX124" i="25"/>
  <c r="BU124" i="25"/>
  <c r="BV124" i="25"/>
  <c r="BW124" i="25"/>
  <c r="BW127" i="25"/>
  <c r="BV127" i="25"/>
  <c r="BX127" i="25"/>
  <c r="BU127" i="25"/>
  <c r="BV126" i="25"/>
  <c r="BX126" i="25"/>
  <c r="BW126" i="25"/>
  <c r="BU126" i="25"/>
  <c r="BX125" i="25"/>
  <c r="BV125" i="25"/>
  <c r="BW125" i="25"/>
  <c r="BU125" i="25"/>
  <c r="BU75" i="25"/>
  <c r="BX75" i="25"/>
  <c r="CD75" i="25" s="1"/>
  <c r="CB145" i="25"/>
  <c r="M116" i="23" s="1"/>
  <c r="CD145" i="25"/>
  <c r="CA145" i="25"/>
  <c r="CE145" i="25"/>
  <c r="O116" i="23" s="1"/>
  <c r="BZ145" i="25"/>
  <c r="L116" i="23" s="1"/>
  <c r="CC145" i="25"/>
  <c r="BY145" i="25"/>
  <c r="K116" i="23"/>
  <c r="BW75" i="25"/>
  <c r="BU107" i="25"/>
  <c r="BV107" i="25"/>
  <c r="BX107" i="25"/>
  <c r="BW107" i="25"/>
  <c r="BW104" i="25"/>
  <c r="BV104" i="25"/>
  <c r="BX104" i="25"/>
  <c r="BU104" i="25"/>
  <c r="BW106" i="25"/>
  <c r="BV106" i="25"/>
  <c r="BU106" i="25"/>
  <c r="BX106" i="25"/>
  <c r="BU105" i="25"/>
  <c r="BV105" i="25"/>
  <c r="BX105" i="25"/>
  <c r="BW105" i="25"/>
  <c r="BU77" i="25"/>
  <c r="BW77" i="25"/>
  <c r="BV77" i="25"/>
  <c r="BX77" i="25"/>
  <c r="A18" i="20"/>
  <c r="A12" i="6"/>
  <c r="BU74" i="25"/>
  <c r="BV74" i="25"/>
  <c r="BW74" i="25"/>
  <c r="BX74" i="25"/>
  <c r="BZ35" i="25"/>
  <c r="L28" i="23" s="1"/>
  <c r="CA35" i="25"/>
  <c r="CE35" i="25"/>
  <c r="O28" i="23" s="1"/>
  <c r="K28" i="23"/>
  <c r="CB35" i="25"/>
  <c r="M28" i="23" s="1"/>
  <c r="BY35" i="25"/>
  <c r="CC35" i="25"/>
  <c r="CD35" i="25"/>
  <c r="CA37" i="25"/>
  <c r="CE37" i="25"/>
  <c r="O30" i="23" s="1"/>
  <c r="BZ37" i="25"/>
  <c r="L30" i="23" s="1"/>
  <c r="CC37" i="25"/>
  <c r="K30" i="23"/>
  <c r="CD37" i="25"/>
  <c r="BY37" i="25"/>
  <c r="CB37" i="25"/>
  <c r="M30" i="23" s="1"/>
  <c r="BX76" i="25"/>
  <c r="BW76" i="25"/>
  <c r="BV76" i="25"/>
  <c r="BU76" i="25"/>
  <c r="BZ57" i="25" l="1"/>
  <c r="L46" i="23" s="1"/>
  <c r="CA54" i="25"/>
  <c r="CC57" i="25"/>
  <c r="CF57" i="25" s="1"/>
  <c r="N46" i="23" s="1"/>
  <c r="CD57" i="25"/>
  <c r="CE57" i="25"/>
  <c r="O46" i="23" s="1"/>
  <c r="BY57" i="25"/>
  <c r="CB57" i="25"/>
  <c r="M46" i="23" s="1"/>
  <c r="BZ54" i="25"/>
  <c r="L43" i="23" s="1"/>
  <c r="BY54" i="25"/>
  <c r="CE54" i="25"/>
  <c r="O43" i="23" s="1"/>
  <c r="CD54" i="25"/>
  <c r="CC54" i="25"/>
  <c r="K43" i="23"/>
  <c r="BV57" i="25"/>
  <c r="CA57" i="25"/>
  <c r="BW57" i="25"/>
  <c r="BX136" i="25"/>
  <c r="CE136" i="25" s="1"/>
  <c r="O109" i="23" s="1"/>
  <c r="BU136" i="25"/>
  <c r="CC56" i="25"/>
  <c r="CB56" i="25"/>
  <c r="M45" i="23" s="1"/>
  <c r="BZ56" i="25"/>
  <c r="L45" i="23" s="1"/>
  <c r="BW54" i="25"/>
  <c r="BU54" i="25"/>
  <c r="CA56" i="25"/>
  <c r="BY56" i="25"/>
  <c r="CD56" i="25"/>
  <c r="CE56" i="25"/>
  <c r="O45" i="23" s="1"/>
  <c r="BV54" i="25"/>
  <c r="BU57" i="25"/>
  <c r="BW134" i="25"/>
  <c r="BV134" i="25"/>
  <c r="BX134" i="25"/>
  <c r="CB134" i="25" s="1"/>
  <c r="M107" i="23" s="1"/>
  <c r="CC135" i="25"/>
  <c r="CA135" i="25"/>
  <c r="K108" i="23"/>
  <c r="BW55" i="25"/>
  <c r="BV56" i="25"/>
  <c r="BW56" i="25"/>
  <c r="BU135" i="25"/>
  <c r="CE135" i="25"/>
  <c r="O108" i="23" s="1"/>
  <c r="BW135" i="25"/>
  <c r="CD135" i="25"/>
  <c r="BZ135" i="25"/>
  <c r="L108" i="23" s="1"/>
  <c r="B16" i="26" s="1"/>
  <c r="E14" i="26" s="1"/>
  <c r="E14" i="10" s="1"/>
  <c r="E46" i="19" s="1"/>
  <c r="BU56" i="25"/>
  <c r="BX55" i="25"/>
  <c r="CE55" i="25" s="1"/>
  <c r="O44" i="23" s="1"/>
  <c r="BV55" i="25"/>
  <c r="BW136" i="25"/>
  <c r="BV137" i="25"/>
  <c r="BY135" i="25"/>
  <c r="BV135" i="25"/>
  <c r="BW117" i="25"/>
  <c r="BX137" i="25"/>
  <c r="CA137" i="25" s="1"/>
  <c r="BX115" i="25"/>
  <c r="BZ115" i="25" s="1"/>
  <c r="L92" i="23" s="1"/>
  <c r="BU114" i="25"/>
  <c r="BW115" i="25"/>
  <c r="BW137" i="25"/>
  <c r="BW116" i="25"/>
  <c r="BX116" i="25"/>
  <c r="BZ116" i="25" s="1"/>
  <c r="L93" i="23" s="1"/>
  <c r="BU115" i="25"/>
  <c r="BV116" i="25"/>
  <c r="K94" i="23"/>
  <c r="CB117" i="25"/>
  <c r="M94" i="23" s="1"/>
  <c r="CA117" i="25"/>
  <c r="BV117" i="25"/>
  <c r="CE117" i="25"/>
  <c r="O94" i="23" s="1"/>
  <c r="BU117" i="25"/>
  <c r="CC117" i="25"/>
  <c r="BX114" i="25"/>
  <c r="CC114" i="25" s="1"/>
  <c r="BW114" i="25"/>
  <c r="BY117" i="25"/>
  <c r="CD117" i="25"/>
  <c r="BT27" i="25"/>
  <c r="BW27" i="25" s="1"/>
  <c r="BT25" i="25"/>
  <c r="BW25" i="25" s="1"/>
  <c r="BT26" i="25"/>
  <c r="BX26" i="25" s="1"/>
  <c r="K21" i="23" s="1"/>
  <c r="BT24" i="25"/>
  <c r="BX24" i="25" s="1"/>
  <c r="CE24" i="25" s="1"/>
  <c r="O19" i="23" s="1"/>
  <c r="CD97" i="25"/>
  <c r="BX94" i="25"/>
  <c r="CB94" i="25" s="1"/>
  <c r="M75" i="23" s="1"/>
  <c r="BW94" i="25"/>
  <c r="BX96" i="25"/>
  <c r="CE96" i="25" s="1"/>
  <c r="O77" i="23" s="1"/>
  <c r="BU94" i="25"/>
  <c r="BU96" i="25"/>
  <c r="BV96" i="25"/>
  <c r="BW46" i="25"/>
  <c r="CC97" i="25"/>
  <c r="CE97" i="25"/>
  <c r="O78" i="23" s="1"/>
  <c r="BZ97" i="25"/>
  <c r="L78" i="23" s="1"/>
  <c r="CB97" i="25"/>
  <c r="M78" i="23" s="1"/>
  <c r="BU97" i="25"/>
  <c r="BY97" i="25"/>
  <c r="BW97" i="25"/>
  <c r="BV97" i="25"/>
  <c r="BZ36" i="25"/>
  <c r="L29" i="23" s="1"/>
  <c r="BY36" i="25"/>
  <c r="BX46" i="25"/>
  <c r="CA46" i="25" s="1"/>
  <c r="BV46" i="25"/>
  <c r="CE34" i="25"/>
  <c r="O27" i="23" s="1"/>
  <c r="CA36" i="25"/>
  <c r="CD36" i="25"/>
  <c r="K29" i="23"/>
  <c r="CB36" i="25"/>
  <c r="M29" i="23" s="1"/>
  <c r="CC36" i="25"/>
  <c r="BX44" i="25"/>
  <c r="BY44" i="25" s="1"/>
  <c r="BV95" i="25"/>
  <c r="BU95" i="25"/>
  <c r="BX95" i="25"/>
  <c r="CA95" i="25" s="1"/>
  <c r="BU45" i="25"/>
  <c r="BV45" i="25"/>
  <c r="BW44" i="25"/>
  <c r="BV44" i="25"/>
  <c r="BX45" i="25"/>
  <c r="CA45" i="25" s="1"/>
  <c r="BY34" i="25"/>
  <c r="BW47" i="25"/>
  <c r="BZ34" i="25"/>
  <c r="L27" i="23" s="1"/>
  <c r="BU47" i="25"/>
  <c r="CC34" i="25"/>
  <c r="CF34" i="25" s="1"/>
  <c r="N27" i="23" s="1"/>
  <c r="BX47" i="25"/>
  <c r="BZ47" i="25" s="1"/>
  <c r="L38" i="23" s="1"/>
  <c r="CA34" i="25"/>
  <c r="CB34" i="25"/>
  <c r="M27" i="23" s="1"/>
  <c r="K27" i="23"/>
  <c r="CC134" i="25"/>
  <c r="BY136" i="25"/>
  <c r="CB136" i="25"/>
  <c r="M109" i="23" s="1"/>
  <c r="BZ136" i="25"/>
  <c r="L109" i="23" s="1"/>
  <c r="K109" i="23"/>
  <c r="CD136" i="25"/>
  <c r="BT6" i="25"/>
  <c r="BU6" i="25" s="1"/>
  <c r="BT5" i="25"/>
  <c r="BX5" i="25" s="1"/>
  <c r="BT7" i="25"/>
  <c r="BW7" i="25" s="1"/>
  <c r="BT4" i="25"/>
  <c r="BU4" i="25" s="1"/>
  <c r="BT15" i="25"/>
  <c r="BT16" i="25"/>
  <c r="BT14" i="25"/>
  <c r="BT17" i="25"/>
  <c r="BW37" i="8"/>
  <c r="CB146" i="25"/>
  <c r="M117" i="23" s="1"/>
  <c r="K117" i="23"/>
  <c r="BY146" i="25"/>
  <c r="CE146" i="25"/>
  <c r="O117" i="23" s="1"/>
  <c r="CD146" i="25"/>
  <c r="BZ146" i="25"/>
  <c r="L117" i="23" s="1"/>
  <c r="CC146" i="25"/>
  <c r="K118" i="23"/>
  <c r="CE147" i="25"/>
  <c r="O118" i="23" s="1"/>
  <c r="CC144" i="25"/>
  <c r="CE144" i="25"/>
  <c r="O115" i="23" s="1"/>
  <c r="CB147" i="25"/>
  <c r="M118" i="23" s="1"/>
  <c r="BY147" i="25"/>
  <c r="CD147" i="25"/>
  <c r="CC147" i="25"/>
  <c r="BZ147" i="25"/>
  <c r="L118" i="23" s="1"/>
  <c r="CD5" i="8"/>
  <c r="CC4" i="8"/>
  <c r="BY4" i="8"/>
  <c r="CB6" i="8"/>
  <c r="M5" i="6" s="1"/>
  <c r="CB4" i="8"/>
  <c r="M3" i="6" s="1"/>
  <c r="CC6" i="8"/>
  <c r="CE4" i="8"/>
  <c r="O3" i="6" s="1"/>
  <c r="CE5" i="8"/>
  <c r="O4" i="6" s="1"/>
  <c r="CE6" i="8"/>
  <c r="O5" i="6" s="1"/>
  <c r="K4" i="6"/>
  <c r="CD6" i="8"/>
  <c r="CC5" i="8"/>
  <c r="CD4" i="8"/>
  <c r="BZ6" i="8"/>
  <c r="L5" i="6" s="1"/>
  <c r="BZ5" i="8"/>
  <c r="L4" i="6" s="1"/>
  <c r="D7" i="3" s="1"/>
  <c r="K3" i="6"/>
  <c r="CA6" i="8"/>
  <c r="Q5" i="6" s="1"/>
  <c r="BY5" i="8"/>
  <c r="BY6" i="8"/>
  <c r="CA5" i="8"/>
  <c r="Q4" i="6" s="1"/>
  <c r="BZ4" i="8"/>
  <c r="L3" i="6" s="1"/>
  <c r="K6" i="6"/>
  <c r="CE7" i="8"/>
  <c r="O6" i="6" s="1"/>
  <c r="CD7" i="8"/>
  <c r="BZ7" i="8"/>
  <c r="L6" i="6" s="1"/>
  <c r="D15" i="3" s="1"/>
  <c r="E22" i="3" s="1"/>
  <c r="A35" i="1" s="1"/>
  <c r="CC7" i="8"/>
  <c r="BY7" i="8"/>
  <c r="CA7" i="8"/>
  <c r="Q6" i="6" s="1"/>
  <c r="BW16" i="8"/>
  <c r="BV16" i="8"/>
  <c r="BX35" i="8"/>
  <c r="CD35" i="8" s="1"/>
  <c r="K115" i="23"/>
  <c r="CD144" i="25"/>
  <c r="BZ144" i="25"/>
  <c r="L115" i="23" s="1"/>
  <c r="CB144" i="25"/>
  <c r="M115" i="23" s="1"/>
  <c r="BY144" i="25"/>
  <c r="BX16" i="8"/>
  <c r="BZ16" i="8" s="1"/>
  <c r="L13" i="6" s="1"/>
  <c r="BW15" i="8"/>
  <c r="BV15" i="8"/>
  <c r="BX15" i="8"/>
  <c r="CC15" i="8" s="1"/>
  <c r="BX36" i="8"/>
  <c r="BY36" i="8" s="1"/>
  <c r="BV35" i="8"/>
  <c r="BW36" i="8"/>
  <c r="BX34" i="8"/>
  <c r="BZ34" i="8" s="1"/>
  <c r="L27" i="6" s="1"/>
  <c r="BV34" i="8"/>
  <c r="BW34" i="8"/>
  <c r="BU35" i="8"/>
  <c r="BU37" i="8"/>
  <c r="BX37" i="8"/>
  <c r="CA37" i="8" s="1"/>
  <c r="Q30" i="6" s="1"/>
  <c r="BU36" i="8"/>
  <c r="BX14" i="8"/>
  <c r="BZ14" i="8" s="1"/>
  <c r="L11" i="6" s="1"/>
  <c r="BW14" i="8"/>
  <c r="BU14" i="8"/>
  <c r="BU66" i="25"/>
  <c r="BV66" i="25"/>
  <c r="BX66" i="25"/>
  <c r="BW66" i="25"/>
  <c r="BU65" i="25"/>
  <c r="BV65" i="25"/>
  <c r="BX65" i="25"/>
  <c r="BW65" i="25"/>
  <c r="BX64" i="25"/>
  <c r="BV64" i="25"/>
  <c r="BW64" i="25"/>
  <c r="BU64" i="25"/>
  <c r="BX67" i="25"/>
  <c r="BV67" i="25"/>
  <c r="BU67" i="25"/>
  <c r="BW67" i="25"/>
  <c r="BU17" i="8"/>
  <c r="BV17" i="8"/>
  <c r="BW17" i="8"/>
  <c r="CE157" i="25"/>
  <c r="O126" i="23" s="1"/>
  <c r="CC157" i="25"/>
  <c r="BY157" i="25"/>
  <c r="CD157" i="25"/>
  <c r="BZ157" i="25"/>
  <c r="L126" i="23" s="1"/>
  <c r="CB157" i="25"/>
  <c r="M126" i="23" s="1"/>
  <c r="CA157" i="25"/>
  <c r="K126" i="23"/>
  <c r="BZ155" i="25"/>
  <c r="L124" i="23" s="1"/>
  <c r="K124" i="23"/>
  <c r="CB155" i="25"/>
  <c r="M124" i="23" s="1"/>
  <c r="CD155" i="25"/>
  <c r="CA155" i="25"/>
  <c r="BY155" i="25"/>
  <c r="CC155" i="25"/>
  <c r="CE155" i="25"/>
  <c r="O124" i="23" s="1"/>
  <c r="CC156" i="25"/>
  <c r="BY156" i="25"/>
  <c r="CA156" i="25"/>
  <c r="CD156" i="25"/>
  <c r="CE156" i="25"/>
  <c r="O125" i="23" s="1"/>
  <c r="BZ156" i="25"/>
  <c r="L125" i="23" s="1"/>
  <c r="CB156" i="25"/>
  <c r="M125" i="23" s="1"/>
  <c r="K125" i="23"/>
  <c r="CD154" i="25"/>
  <c r="BY154" i="25"/>
  <c r="CE154" i="25"/>
  <c r="O123" i="23" s="1"/>
  <c r="CC154" i="25"/>
  <c r="BZ154" i="25"/>
  <c r="L123" i="23" s="1"/>
  <c r="CB154" i="25"/>
  <c r="M123" i="23" s="1"/>
  <c r="K123" i="23"/>
  <c r="CA154" i="25"/>
  <c r="BW24" i="8"/>
  <c r="BV24" i="8"/>
  <c r="BX24" i="8"/>
  <c r="BU24" i="8"/>
  <c r="BV27" i="8"/>
  <c r="BU27" i="8"/>
  <c r="BX27" i="8"/>
  <c r="BW27" i="8"/>
  <c r="BW26" i="8"/>
  <c r="BX26" i="8"/>
  <c r="BV26" i="8"/>
  <c r="BU26" i="8"/>
  <c r="BW25" i="8"/>
  <c r="BU25" i="8"/>
  <c r="BX25" i="8"/>
  <c r="BV25" i="8"/>
  <c r="CC85" i="25"/>
  <c r="CB85" i="25"/>
  <c r="M68" i="23" s="1"/>
  <c r="CD85" i="25"/>
  <c r="BZ85" i="25"/>
  <c r="L68" i="23" s="1"/>
  <c r="K68" i="23"/>
  <c r="CA85" i="25"/>
  <c r="CE85" i="25"/>
  <c r="O68" i="23" s="1"/>
  <c r="BY85" i="25"/>
  <c r="CB84" i="25"/>
  <c r="M67" i="23" s="1"/>
  <c r="CC84" i="25"/>
  <c r="CD84" i="25"/>
  <c r="BZ84" i="25"/>
  <c r="L67" i="23" s="1"/>
  <c r="CE84" i="25"/>
  <c r="O67" i="23" s="1"/>
  <c r="K67" i="23"/>
  <c r="CA84" i="25"/>
  <c r="BY84" i="25"/>
  <c r="BZ87" i="25"/>
  <c r="L70" i="23" s="1"/>
  <c r="CE87" i="25"/>
  <c r="O70" i="23" s="1"/>
  <c r="CD87" i="25"/>
  <c r="CC87" i="25"/>
  <c r="CB87" i="25"/>
  <c r="M70" i="23" s="1"/>
  <c r="BY87" i="25"/>
  <c r="CA87" i="25"/>
  <c r="K70" i="23"/>
  <c r="CE86" i="25"/>
  <c r="O69" i="23" s="1"/>
  <c r="CB86" i="25"/>
  <c r="M69" i="23" s="1"/>
  <c r="BY86" i="25"/>
  <c r="BZ86" i="25"/>
  <c r="L69" i="23" s="1"/>
  <c r="K69" i="23"/>
  <c r="CD86" i="25"/>
  <c r="CA86" i="25"/>
  <c r="CC86" i="25"/>
  <c r="K102" i="23"/>
  <c r="BZ127" i="25"/>
  <c r="L102" i="23" s="1"/>
  <c r="CA127" i="25"/>
  <c r="CB127" i="25"/>
  <c r="M102" i="23" s="1"/>
  <c r="CC127" i="25"/>
  <c r="CE127" i="25"/>
  <c r="O102" i="23" s="1"/>
  <c r="CD127" i="25"/>
  <c r="BY127" i="25"/>
  <c r="CA75" i="25"/>
  <c r="BY75" i="25"/>
  <c r="K100" i="23"/>
  <c r="BY125" i="25"/>
  <c r="CB125" i="25"/>
  <c r="M100" i="23" s="1"/>
  <c r="CE125" i="25"/>
  <c r="O100" i="23" s="1"/>
  <c r="CD125" i="25"/>
  <c r="BZ125" i="25"/>
  <c r="L100" i="23" s="1"/>
  <c r="CA125" i="25"/>
  <c r="CC125" i="25"/>
  <c r="CC126" i="25"/>
  <c r="K101" i="23"/>
  <c r="BZ126" i="25"/>
  <c r="L101" i="23" s="1"/>
  <c r="CE126" i="25"/>
  <c r="O101" i="23" s="1"/>
  <c r="CB126" i="25"/>
  <c r="M101" i="23" s="1"/>
  <c r="CA126" i="25"/>
  <c r="CD126" i="25"/>
  <c r="BY126" i="25"/>
  <c r="CA124" i="25"/>
  <c r="CC124" i="25"/>
  <c r="BZ124" i="25"/>
  <c r="L99" i="23" s="1"/>
  <c r="BY124" i="25"/>
  <c r="CB124" i="25"/>
  <c r="M99" i="23" s="1"/>
  <c r="CD124" i="25"/>
  <c r="CE124" i="25"/>
  <c r="O99" i="23" s="1"/>
  <c r="K99" i="23"/>
  <c r="CC75" i="25"/>
  <c r="CF75" i="25" s="1"/>
  <c r="N60" i="23" s="1"/>
  <c r="CB75" i="25"/>
  <c r="M60" i="23" s="1"/>
  <c r="CE75" i="25"/>
  <c r="O60" i="23" s="1"/>
  <c r="K60" i="23"/>
  <c r="BZ75" i="25"/>
  <c r="L60" i="23" s="1"/>
  <c r="CF145" i="25"/>
  <c r="N116" i="23" s="1"/>
  <c r="B17" i="26"/>
  <c r="E13" i="26" s="1"/>
  <c r="E13" i="10" s="1"/>
  <c r="E42" i="19" s="1"/>
  <c r="BZ107" i="25"/>
  <c r="L86" i="23" s="1"/>
  <c r="BY107" i="25"/>
  <c r="CE107" i="25"/>
  <c r="O86" i="23" s="1"/>
  <c r="CA107" i="25"/>
  <c r="K86" i="23"/>
  <c r="CD107" i="25"/>
  <c r="CC107" i="25"/>
  <c r="CB107" i="25"/>
  <c r="M86" i="23" s="1"/>
  <c r="K84" i="23"/>
  <c r="BY105" i="25"/>
  <c r="CC105" i="25"/>
  <c r="CD105" i="25"/>
  <c r="CA105" i="25"/>
  <c r="BZ105" i="25"/>
  <c r="L84" i="23" s="1"/>
  <c r="CE105" i="25"/>
  <c r="O84" i="23" s="1"/>
  <c r="CB105" i="25"/>
  <c r="M84" i="23" s="1"/>
  <c r="BZ106" i="25"/>
  <c r="L85" i="23" s="1"/>
  <c r="CB106" i="25"/>
  <c r="M85" i="23" s="1"/>
  <c r="BY106" i="25"/>
  <c r="CC106" i="25"/>
  <c r="CD106" i="25"/>
  <c r="K85" i="23"/>
  <c r="CA106" i="25"/>
  <c r="CE106" i="25"/>
  <c r="O85" i="23" s="1"/>
  <c r="BY104" i="25"/>
  <c r="K83" i="23"/>
  <c r="CC104" i="25"/>
  <c r="CE104" i="25"/>
  <c r="O83" i="23" s="1"/>
  <c r="BZ104" i="25"/>
  <c r="L83" i="23" s="1"/>
  <c r="CD104" i="25"/>
  <c r="CB104" i="25"/>
  <c r="M83" i="23" s="1"/>
  <c r="CA104" i="25"/>
  <c r="B6" i="26"/>
  <c r="E11" i="26" s="1"/>
  <c r="E11" i="10" s="1"/>
  <c r="E34" i="19" s="1"/>
  <c r="K62" i="23"/>
  <c r="CA77" i="25"/>
  <c r="CD77" i="25"/>
  <c r="CE77" i="25"/>
  <c r="O62" i="23" s="1"/>
  <c r="CB77" i="25"/>
  <c r="M62" i="23" s="1"/>
  <c r="CC77" i="25"/>
  <c r="BZ77" i="25"/>
  <c r="L62" i="23" s="1"/>
  <c r="BY77" i="25"/>
  <c r="A22" i="20"/>
  <c r="A20" i="6"/>
  <c r="CF37" i="25"/>
  <c r="N30" i="23" s="1"/>
  <c r="CF35" i="25"/>
  <c r="N28" i="23" s="1"/>
  <c r="CE74" i="25"/>
  <c r="O59" i="23" s="1"/>
  <c r="CA74" i="25"/>
  <c r="BZ74" i="25"/>
  <c r="L59" i="23" s="1"/>
  <c r="CC74" i="25"/>
  <c r="BY74" i="25"/>
  <c r="CD74" i="25"/>
  <c r="CB74" i="25"/>
  <c r="M59" i="23" s="1"/>
  <c r="K59" i="23"/>
  <c r="K61" i="23"/>
  <c r="CD76" i="25"/>
  <c r="BZ76" i="25"/>
  <c r="L61" i="23" s="1"/>
  <c r="CA76" i="25"/>
  <c r="CE76" i="25"/>
  <c r="O61" i="23" s="1"/>
  <c r="BY76" i="25"/>
  <c r="CB76" i="25"/>
  <c r="M61" i="23" s="1"/>
  <c r="CC76" i="25"/>
  <c r="BY17" i="8"/>
  <c r="CC17" i="8"/>
  <c r="CD17" i="8"/>
  <c r="CB17" i="8"/>
  <c r="M14" i="6" s="1"/>
  <c r="CE17" i="8"/>
  <c r="O14" i="6" s="1"/>
  <c r="K14" i="6"/>
  <c r="BZ17" i="8"/>
  <c r="L14" i="6" s="1"/>
  <c r="CA17" i="8"/>
  <c r="Q14" i="6" s="1"/>
  <c r="CF54" i="25" l="1"/>
  <c r="N43" i="23" s="1"/>
  <c r="C8" i="26"/>
  <c r="D8" i="10" s="1"/>
  <c r="D22" i="19" s="1"/>
  <c r="CA136" i="25"/>
  <c r="CC136" i="25"/>
  <c r="CF136" i="25" s="1"/>
  <c r="N109" i="23" s="1"/>
  <c r="CF97" i="25"/>
  <c r="N78" i="23" s="1"/>
  <c r="CE134" i="25"/>
  <c r="O107" i="23" s="1"/>
  <c r="CF56" i="25"/>
  <c r="N45" i="23" s="1"/>
  <c r="BY134" i="25"/>
  <c r="BZ134" i="25"/>
  <c r="L107" i="23" s="1"/>
  <c r="C16" i="26" s="1"/>
  <c r="D16" i="10" s="1"/>
  <c r="D54" i="19" s="1"/>
  <c r="K107" i="23"/>
  <c r="CA134" i="25"/>
  <c r="CD134" i="25"/>
  <c r="CF134" i="25" s="1"/>
  <c r="N107" i="23" s="1"/>
  <c r="BZ55" i="25"/>
  <c r="L44" i="23" s="1"/>
  <c r="K44" i="23"/>
  <c r="CA55" i="25"/>
  <c r="BY55" i="25"/>
  <c r="CE115" i="25"/>
  <c r="O92" i="23" s="1"/>
  <c r="CC55" i="25"/>
  <c r="CB55" i="25"/>
  <c r="M44" i="23" s="1"/>
  <c r="CD55" i="25"/>
  <c r="CF135" i="25"/>
  <c r="N108" i="23" s="1"/>
  <c r="BX27" i="25"/>
  <c r="CD27" i="25" s="1"/>
  <c r="BU27" i="25"/>
  <c r="BV27" i="25"/>
  <c r="CC137" i="25"/>
  <c r="K110" i="23"/>
  <c r="CB137" i="25"/>
  <c r="M110" i="23" s="1"/>
  <c r="BY116" i="25"/>
  <c r="BV24" i="25"/>
  <c r="CB24" i="25"/>
  <c r="M19" i="23" s="1"/>
  <c r="CC26" i="25"/>
  <c r="CD115" i="25"/>
  <c r="BY115" i="25"/>
  <c r="CB115" i="25"/>
  <c r="M92" i="23" s="1"/>
  <c r="B14" i="26" s="1"/>
  <c r="E16" i="26" s="1"/>
  <c r="E16" i="10" s="1"/>
  <c r="E54" i="19" s="1"/>
  <c r="CC115" i="25"/>
  <c r="CA115" i="25"/>
  <c r="CA116" i="25"/>
  <c r="CD137" i="25"/>
  <c r="CE137" i="25"/>
  <c r="O110" i="23" s="1"/>
  <c r="K92" i="23"/>
  <c r="BY137" i="25"/>
  <c r="BZ137" i="25"/>
  <c r="L110" i="23" s="1"/>
  <c r="CC116" i="25"/>
  <c r="CE116" i="25"/>
  <c r="O93" i="23" s="1"/>
  <c r="CD116" i="25"/>
  <c r="K93" i="23"/>
  <c r="CB116" i="25"/>
  <c r="M93" i="23" s="1"/>
  <c r="CB114" i="25"/>
  <c r="M91" i="23" s="1"/>
  <c r="CD114" i="25"/>
  <c r="CF114" i="25" s="1"/>
  <c r="N91" i="23" s="1"/>
  <c r="BZ114" i="25"/>
  <c r="L91" i="23" s="1"/>
  <c r="BY114" i="25"/>
  <c r="CE114" i="25"/>
  <c r="O91" i="23" s="1"/>
  <c r="CA114" i="25"/>
  <c r="K91" i="23"/>
  <c r="CF117" i="25"/>
  <c r="N94" i="23" s="1"/>
  <c r="BU25" i="25"/>
  <c r="BV25" i="25"/>
  <c r="BX25" i="25"/>
  <c r="CE25" i="25" s="1"/>
  <c r="O20" i="23" s="1"/>
  <c r="CA24" i="25"/>
  <c r="BZ24" i="25"/>
  <c r="L19" i="23" s="1"/>
  <c r="BW24" i="25"/>
  <c r="BU24" i="25"/>
  <c r="CD26" i="25"/>
  <c r="CA26" i="25"/>
  <c r="CE26" i="25"/>
  <c r="O21" i="23" s="1"/>
  <c r="BY26" i="25"/>
  <c r="BU26" i="25"/>
  <c r="BV26" i="25"/>
  <c r="BZ26" i="25"/>
  <c r="L21" i="23" s="1"/>
  <c r="CB26" i="25"/>
  <c r="M21" i="23" s="1"/>
  <c r="BW26" i="25"/>
  <c r="CC24" i="25"/>
  <c r="K19" i="23"/>
  <c r="K37" i="23"/>
  <c r="CE94" i="25"/>
  <c r="O75" i="23" s="1"/>
  <c r="CB46" i="25"/>
  <c r="M37" i="23" s="1"/>
  <c r="CD94" i="25"/>
  <c r="BY24" i="25"/>
  <c r="CD24" i="25"/>
  <c r="CD96" i="25"/>
  <c r="BY45" i="25"/>
  <c r="CC96" i="25"/>
  <c r="BZ96" i="25"/>
  <c r="L77" i="23" s="1"/>
  <c r="CA96" i="25"/>
  <c r="CA94" i="25"/>
  <c r="CC94" i="25"/>
  <c r="BY94" i="25"/>
  <c r="BZ94" i="25"/>
  <c r="L75" i="23" s="1"/>
  <c r="C12" i="26" s="1"/>
  <c r="D12" i="10" s="1"/>
  <c r="D38" i="19" s="1"/>
  <c r="BZ46" i="25"/>
  <c r="L37" i="23" s="1"/>
  <c r="BY46" i="25"/>
  <c r="CD46" i="25"/>
  <c r="CC46" i="25"/>
  <c r="CE46" i="25"/>
  <c r="O37" i="23" s="1"/>
  <c r="BY96" i="25"/>
  <c r="CB96" i="25"/>
  <c r="M77" i="23" s="1"/>
  <c r="BZ45" i="25"/>
  <c r="L36" i="23" s="1"/>
  <c r="K36" i="23"/>
  <c r="CE45" i="25"/>
  <c r="O36" i="23" s="1"/>
  <c r="K38" i="23"/>
  <c r="CC47" i="25"/>
  <c r="CB47" i="25"/>
  <c r="M38" i="23" s="1"/>
  <c r="CF36" i="25"/>
  <c r="N29" i="23" s="1"/>
  <c r="CC44" i="25"/>
  <c r="K35" i="23"/>
  <c r="BZ44" i="25"/>
  <c r="L35" i="23" s="1"/>
  <c r="CA44" i="25"/>
  <c r="CD44" i="25"/>
  <c r="CE44" i="25"/>
  <c r="O35" i="23" s="1"/>
  <c r="CB44" i="25"/>
  <c r="M35" i="23" s="1"/>
  <c r="C6" i="26"/>
  <c r="D6" i="10" s="1"/>
  <c r="D14" i="19" s="1"/>
  <c r="CE95" i="25"/>
  <c r="O76" i="23" s="1"/>
  <c r="BY95" i="25"/>
  <c r="CC95" i="25"/>
  <c r="CD95" i="25"/>
  <c r="BZ95" i="25"/>
  <c r="L76" i="23" s="1"/>
  <c r="CB95" i="25"/>
  <c r="M76" i="23" s="1"/>
  <c r="BX7" i="25"/>
  <c r="CD7" i="25" s="1"/>
  <c r="CB45" i="25"/>
  <c r="M36" i="23" s="1"/>
  <c r="CC45" i="25"/>
  <c r="CD45" i="25"/>
  <c r="CA47" i="25"/>
  <c r="CE47" i="25"/>
  <c r="O38" i="23" s="1"/>
  <c r="CD47" i="25"/>
  <c r="BY47" i="25"/>
  <c r="BV6" i="25"/>
  <c r="BW6" i="25"/>
  <c r="BX6" i="25"/>
  <c r="CB6" i="25" s="1"/>
  <c r="M5" i="23" s="1"/>
  <c r="BW5" i="25"/>
  <c r="BU5" i="25"/>
  <c r="BV5" i="25"/>
  <c r="BU7" i="25"/>
  <c r="BV7" i="25"/>
  <c r="BV4" i="25"/>
  <c r="BX4" i="25"/>
  <c r="CB4" i="25" s="1"/>
  <c r="M3" i="23" s="1"/>
  <c r="BW4" i="25"/>
  <c r="BW17" i="25"/>
  <c r="BX17" i="25"/>
  <c r="BV17" i="25"/>
  <c r="BU17" i="25"/>
  <c r="BX14" i="25"/>
  <c r="BU14" i="25"/>
  <c r="BW14" i="25"/>
  <c r="BV14" i="25"/>
  <c r="BX16" i="25"/>
  <c r="BW16" i="25"/>
  <c r="BV16" i="25"/>
  <c r="BU16" i="25"/>
  <c r="BX15" i="25"/>
  <c r="BU15" i="25"/>
  <c r="BW15" i="25"/>
  <c r="BV15" i="25"/>
  <c r="CE5" i="25"/>
  <c r="O4" i="23" s="1"/>
  <c r="BZ5" i="25"/>
  <c r="L4" i="23" s="1"/>
  <c r="CA5" i="25"/>
  <c r="CB5" i="25"/>
  <c r="M4" i="23" s="1"/>
  <c r="BY5" i="25"/>
  <c r="CC5" i="25"/>
  <c r="K4" i="23"/>
  <c r="CD5" i="25"/>
  <c r="CF146" i="25"/>
  <c r="N117" i="23" s="1"/>
  <c r="D2" i="3"/>
  <c r="A3" i="1" s="1"/>
  <c r="C18" i="1" s="1"/>
  <c r="D10" i="3"/>
  <c r="D20" i="3" s="1"/>
  <c r="A28" i="1" s="1"/>
  <c r="C43" i="1" s="1"/>
  <c r="E49" i="1" s="1"/>
  <c r="D36" i="3" s="1"/>
  <c r="D66" i="21" s="1"/>
  <c r="CF147" i="25"/>
  <c r="N118" i="23" s="1"/>
  <c r="CF144" i="25"/>
  <c r="N115" i="23" s="1"/>
  <c r="CF4" i="8"/>
  <c r="N3" i="6" s="1"/>
  <c r="CF6" i="8"/>
  <c r="N5" i="6" s="1"/>
  <c r="CF5" i="8"/>
  <c r="N4" i="6" s="1"/>
  <c r="BZ36" i="8"/>
  <c r="L29" i="6" s="1"/>
  <c r="CA35" i="8"/>
  <c r="Q28" i="6" s="1"/>
  <c r="CF7" i="8"/>
  <c r="N6" i="6" s="1"/>
  <c r="CA16" i="8"/>
  <c r="Q13" i="6" s="1"/>
  <c r="BZ35" i="8"/>
  <c r="L28" i="6" s="1"/>
  <c r="CB35" i="8"/>
  <c r="M28" i="6" s="1"/>
  <c r="BY35" i="8"/>
  <c r="BY15" i="8"/>
  <c r="BZ15" i="8"/>
  <c r="L12" i="6" s="1"/>
  <c r="CE15" i="8"/>
  <c r="O12" i="6" s="1"/>
  <c r="C17" i="26"/>
  <c r="D17" i="10" s="1"/>
  <c r="D58" i="19" s="1"/>
  <c r="CC35" i="8"/>
  <c r="CF35" i="8" s="1"/>
  <c r="N28" i="6" s="1"/>
  <c r="K28" i="6"/>
  <c r="CD16" i="8"/>
  <c r="CE35" i="8"/>
  <c r="O28" i="6" s="1"/>
  <c r="K13" i="6"/>
  <c r="CB36" i="8"/>
  <c r="M29" i="6" s="1"/>
  <c r="CB15" i="8"/>
  <c r="M12" i="6" s="1"/>
  <c r="CE16" i="8"/>
  <c r="O13" i="6" s="1"/>
  <c r="CA36" i="8"/>
  <c r="Q29" i="6" s="1"/>
  <c r="CA15" i="8"/>
  <c r="Q12" i="6" s="1"/>
  <c r="CB16" i="8"/>
  <c r="M13" i="6" s="1"/>
  <c r="D17" i="3" s="1"/>
  <c r="E23" i="3" s="1"/>
  <c r="CD15" i="8"/>
  <c r="CF15" i="8" s="1"/>
  <c r="N12" i="6" s="1"/>
  <c r="CC16" i="8"/>
  <c r="K12" i="6"/>
  <c r="BY16" i="8"/>
  <c r="CE36" i="8"/>
  <c r="O29" i="6" s="1"/>
  <c r="CC36" i="8"/>
  <c r="CD36" i="8"/>
  <c r="K29" i="6"/>
  <c r="BY34" i="8"/>
  <c r="CD34" i="8"/>
  <c r="CA34" i="8"/>
  <c r="Q27" i="6" s="1"/>
  <c r="CE34" i="8"/>
  <c r="O27" i="6" s="1"/>
  <c r="CC34" i="8"/>
  <c r="CB34" i="8"/>
  <c r="M27" i="6" s="1"/>
  <c r="D5" i="3" s="1"/>
  <c r="K27" i="6"/>
  <c r="CC37" i="8"/>
  <c r="CB37" i="8"/>
  <c r="M30" i="6" s="1"/>
  <c r="CD37" i="8"/>
  <c r="K30" i="6"/>
  <c r="CE37" i="8"/>
  <c r="O30" i="6" s="1"/>
  <c r="BZ37" i="8"/>
  <c r="L30" i="6" s="1"/>
  <c r="BY37" i="8"/>
  <c r="CB14" i="8"/>
  <c r="M11" i="6" s="1"/>
  <c r="D9" i="3" s="1"/>
  <c r="E27" i="3" s="1"/>
  <c r="E30" i="21" s="1"/>
  <c r="CC14" i="8"/>
  <c r="CE14" i="8"/>
  <c r="O11" i="6" s="1"/>
  <c r="CA14" i="8"/>
  <c r="Q11" i="6" s="1"/>
  <c r="CD14" i="8"/>
  <c r="K11" i="6"/>
  <c r="BY14" i="8"/>
  <c r="CB65" i="25"/>
  <c r="M52" i="23" s="1"/>
  <c r="CE65" i="25"/>
  <c r="O52" i="23" s="1"/>
  <c r="BZ65" i="25"/>
  <c r="L52" i="23" s="1"/>
  <c r="CC65" i="25"/>
  <c r="BY65" i="25"/>
  <c r="CD65" i="25"/>
  <c r="CA65" i="25"/>
  <c r="K52" i="23"/>
  <c r="BZ67" i="25"/>
  <c r="L54" i="23" s="1"/>
  <c r="CE67" i="25"/>
  <c r="O54" i="23" s="1"/>
  <c r="BY67" i="25"/>
  <c r="K54" i="23"/>
  <c r="CB67" i="25"/>
  <c r="M54" i="23" s="1"/>
  <c r="CD67" i="25"/>
  <c r="CA67" i="25"/>
  <c r="CC67" i="25"/>
  <c r="CA66" i="25"/>
  <c r="CC66" i="25"/>
  <c r="CE66" i="25"/>
  <c r="O53" i="23" s="1"/>
  <c r="BZ66" i="25"/>
  <c r="L53" i="23" s="1"/>
  <c r="BY66" i="25"/>
  <c r="CB66" i="25"/>
  <c r="M53" i="23" s="1"/>
  <c r="CD66" i="25"/>
  <c r="K53" i="23"/>
  <c r="CC64" i="25"/>
  <c r="BZ64" i="25"/>
  <c r="L51" i="23" s="1"/>
  <c r="CB64" i="25"/>
  <c r="M51" i="23" s="1"/>
  <c r="CD64" i="25"/>
  <c r="K51" i="23"/>
  <c r="CA64" i="25"/>
  <c r="CE64" i="25"/>
  <c r="O51" i="23" s="1"/>
  <c r="BY64" i="25"/>
  <c r="C18" i="26"/>
  <c r="D18" i="10" s="1"/>
  <c r="D62" i="19" s="1"/>
  <c r="CF155" i="25"/>
  <c r="N124" i="23" s="1"/>
  <c r="CF156" i="25"/>
  <c r="N125" i="23" s="1"/>
  <c r="B18" i="26"/>
  <c r="E3" i="26" s="1"/>
  <c r="E3" i="10" s="1"/>
  <c r="E2" i="19" s="1"/>
  <c r="CF154" i="25"/>
  <c r="N123" i="23" s="1"/>
  <c r="CF157" i="25"/>
  <c r="N126" i="23" s="1"/>
  <c r="BY25" i="8"/>
  <c r="CE25" i="8"/>
  <c r="O20" i="6" s="1"/>
  <c r="CC25" i="8"/>
  <c r="BZ25" i="8"/>
  <c r="L20" i="6" s="1"/>
  <c r="K20" i="6"/>
  <c r="CB25" i="8"/>
  <c r="M20" i="6" s="1"/>
  <c r="CA25" i="8"/>
  <c r="Q20" i="6" s="1"/>
  <c r="CD25" i="8"/>
  <c r="BY27" i="8"/>
  <c r="CE27" i="8"/>
  <c r="O22" i="6" s="1"/>
  <c r="CC27" i="8"/>
  <c r="CD27" i="8"/>
  <c r="BZ27" i="8"/>
  <c r="L22" i="6" s="1"/>
  <c r="CB27" i="8"/>
  <c r="M22" i="6" s="1"/>
  <c r="CA27" i="8"/>
  <c r="Q22" i="6" s="1"/>
  <c r="K22" i="6"/>
  <c r="CA24" i="8"/>
  <c r="Q19" i="6" s="1"/>
  <c r="K19" i="6"/>
  <c r="CB24" i="8"/>
  <c r="M19" i="6" s="1"/>
  <c r="BY24" i="8"/>
  <c r="BZ24" i="8"/>
  <c r="L19" i="6" s="1"/>
  <c r="CD24" i="8"/>
  <c r="CE24" i="8"/>
  <c r="O19" i="6" s="1"/>
  <c r="CC24" i="8"/>
  <c r="BZ26" i="8"/>
  <c r="L21" i="6" s="1"/>
  <c r="BY26" i="8"/>
  <c r="CB26" i="8"/>
  <c r="M21" i="6" s="1"/>
  <c r="CA26" i="8"/>
  <c r="Q21" i="6" s="1"/>
  <c r="CE26" i="8"/>
  <c r="O21" i="6" s="1"/>
  <c r="K21" i="6"/>
  <c r="CD26" i="8"/>
  <c r="CC26" i="8"/>
  <c r="CF86" i="25"/>
  <c r="N69" i="23" s="1"/>
  <c r="CF87" i="25"/>
  <c r="N70" i="23" s="1"/>
  <c r="E10" i="21"/>
  <c r="C11" i="26"/>
  <c r="D11" i="10" s="1"/>
  <c r="D34" i="19" s="1"/>
  <c r="CF84" i="25"/>
  <c r="N67" i="23" s="1"/>
  <c r="B11" i="26"/>
  <c r="E4" i="26" s="1"/>
  <c r="E4" i="10" s="1"/>
  <c r="E6" i="19" s="1"/>
  <c r="CF85" i="25"/>
  <c r="N68" i="23" s="1"/>
  <c r="B15" i="26"/>
  <c r="E15" i="26" s="1"/>
  <c r="E15" i="10" s="1"/>
  <c r="E50" i="19" s="1"/>
  <c r="B10" i="26"/>
  <c r="E6" i="26" s="1"/>
  <c r="E6" i="10" s="1"/>
  <c r="E14" i="19" s="1"/>
  <c r="C15" i="26"/>
  <c r="D15" i="10" s="1"/>
  <c r="D50" i="19" s="1"/>
  <c r="CF127" i="25"/>
  <c r="N102" i="23" s="1"/>
  <c r="CF124" i="25"/>
  <c r="N99" i="23" s="1"/>
  <c r="CF126" i="25"/>
  <c r="N101" i="23" s="1"/>
  <c r="CF125" i="25"/>
  <c r="N100" i="23" s="1"/>
  <c r="CF105" i="25"/>
  <c r="N84" i="23" s="1"/>
  <c r="CF77" i="25"/>
  <c r="N62" i="23" s="1"/>
  <c r="CF106" i="25"/>
  <c r="N85" i="23" s="1"/>
  <c r="CF107" i="25"/>
  <c r="N86" i="23" s="1"/>
  <c r="CF76" i="25"/>
  <c r="N61" i="23" s="1"/>
  <c r="C13" i="26"/>
  <c r="D13" i="10" s="1"/>
  <c r="D42" i="19" s="1"/>
  <c r="CF104" i="25"/>
  <c r="N83" i="23" s="1"/>
  <c r="D12" i="3"/>
  <c r="D21" i="3" s="1"/>
  <c r="A31" i="1" s="1"/>
  <c r="C44" i="1" s="1"/>
  <c r="E28" i="3" s="1"/>
  <c r="E34" i="21" s="1"/>
  <c r="B13" i="26"/>
  <c r="E17" i="26" s="1"/>
  <c r="E17" i="10" s="1"/>
  <c r="E58" i="19" s="1"/>
  <c r="CF74" i="25"/>
  <c r="N59" i="23" s="1"/>
  <c r="A26" i="20"/>
  <c r="A28" i="6"/>
  <c r="C10" i="26"/>
  <c r="D10" i="10" s="1"/>
  <c r="D30" i="19" s="1"/>
  <c r="CF17" i="8"/>
  <c r="N14" i="6" s="1"/>
  <c r="A10" i="1"/>
  <c r="E26" i="3"/>
  <c r="E26" i="21" s="1"/>
  <c r="CF26" i="25" l="1"/>
  <c r="N21" i="23" s="1"/>
  <c r="CE27" i="25"/>
  <c r="O22" i="23" s="1"/>
  <c r="CA27" i="25"/>
  <c r="BY27" i="25"/>
  <c r="B8" i="26"/>
  <c r="E9" i="26" s="1"/>
  <c r="E9" i="10" s="1"/>
  <c r="E26" i="19" s="1"/>
  <c r="CF55" i="25"/>
  <c r="N44" i="23" s="1"/>
  <c r="CB27" i="25"/>
  <c r="M22" i="23" s="1"/>
  <c r="C5" i="26"/>
  <c r="D5" i="10" s="1"/>
  <c r="D10" i="19" s="1"/>
  <c r="CC27" i="25"/>
  <c r="CF27" i="25" s="1"/>
  <c r="N22" i="23" s="1"/>
  <c r="K22" i="23"/>
  <c r="BZ27" i="25"/>
  <c r="L22" i="23" s="1"/>
  <c r="CF137" i="25"/>
  <c r="N110" i="23" s="1"/>
  <c r="CF115" i="25"/>
  <c r="N92" i="23" s="1"/>
  <c r="BZ25" i="25"/>
  <c r="L20" i="23" s="1"/>
  <c r="CD25" i="25"/>
  <c r="CC25" i="25"/>
  <c r="CA25" i="25"/>
  <c r="CB25" i="25"/>
  <c r="M20" i="23" s="1"/>
  <c r="K20" i="23"/>
  <c r="BY25" i="25"/>
  <c r="CF116" i="25"/>
  <c r="N93" i="23" s="1"/>
  <c r="C14" i="26"/>
  <c r="D14" i="10" s="1"/>
  <c r="D46" i="19" s="1"/>
  <c r="CF96" i="25"/>
  <c r="N77" i="23" s="1"/>
  <c r="CF24" i="25"/>
  <c r="N19" i="23" s="1"/>
  <c r="CB7" i="25"/>
  <c r="M6" i="23" s="1"/>
  <c r="CF94" i="25"/>
  <c r="N75" i="23" s="1"/>
  <c r="CF46" i="25"/>
  <c r="N37" i="23" s="1"/>
  <c r="CF47" i="25"/>
  <c r="N38" i="23" s="1"/>
  <c r="B7" i="26"/>
  <c r="E10" i="26" s="1"/>
  <c r="E10" i="10" s="1"/>
  <c r="E30" i="19" s="1"/>
  <c r="CF44" i="25"/>
  <c r="N35" i="23" s="1"/>
  <c r="C7" i="26"/>
  <c r="D7" i="10" s="1"/>
  <c r="D18" i="19" s="1"/>
  <c r="BZ6" i="25"/>
  <c r="L5" i="23" s="1"/>
  <c r="CA6" i="25"/>
  <c r="K6" i="23"/>
  <c r="BY7" i="25"/>
  <c r="CE7" i="25"/>
  <c r="O6" i="23" s="1"/>
  <c r="B12" i="26"/>
  <c r="E18" i="26" s="1"/>
  <c r="E18" i="10" s="1"/>
  <c r="E62" i="19" s="1"/>
  <c r="CF45" i="25"/>
  <c r="N36" i="23" s="1"/>
  <c r="CF95" i="25"/>
  <c r="N76" i="23" s="1"/>
  <c r="CC7" i="25"/>
  <c r="CF7" i="25" s="1"/>
  <c r="N6" i="23" s="1"/>
  <c r="BZ7" i="25"/>
  <c r="L6" i="23" s="1"/>
  <c r="BY6" i="25"/>
  <c r="CA7" i="25"/>
  <c r="CD6" i="25"/>
  <c r="CE6" i="25"/>
  <c r="O5" i="23" s="1"/>
  <c r="CC6" i="25"/>
  <c r="K5" i="23"/>
  <c r="CD4" i="25"/>
  <c r="CA4" i="25"/>
  <c r="BZ4" i="25"/>
  <c r="L3" i="23" s="1"/>
  <c r="CC4" i="25"/>
  <c r="K3" i="23"/>
  <c r="BY4" i="25"/>
  <c r="CE4" i="25"/>
  <c r="O3" i="23" s="1"/>
  <c r="B3" i="26"/>
  <c r="E5" i="26" s="1"/>
  <c r="E5" i="10" s="1"/>
  <c r="E10" i="19" s="1"/>
  <c r="CF5" i="25"/>
  <c r="N4" i="23" s="1"/>
  <c r="BZ15" i="25"/>
  <c r="L12" i="23" s="1"/>
  <c r="CD15" i="25"/>
  <c r="CE15" i="25"/>
  <c r="O12" i="23" s="1"/>
  <c r="K12" i="23"/>
  <c r="CC15" i="25"/>
  <c r="CA15" i="25"/>
  <c r="BY15" i="25"/>
  <c r="CB15" i="25"/>
  <c r="M12" i="23" s="1"/>
  <c r="CE14" i="25"/>
  <c r="O11" i="23" s="1"/>
  <c r="BY14" i="25"/>
  <c r="CB14" i="25"/>
  <c r="M11" i="23" s="1"/>
  <c r="CD14" i="25"/>
  <c r="BZ14" i="25"/>
  <c r="L11" i="23" s="1"/>
  <c r="CC14" i="25"/>
  <c r="CA14" i="25"/>
  <c r="K11" i="23"/>
  <c r="CC17" i="25"/>
  <c r="BZ17" i="25"/>
  <c r="L14" i="23" s="1"/>
  <c r="CB17" i="25"/>
  <c r="M14" i="23" s="1"/>
  <c r="BY17" i="25"/>
  <c r="CD17" i="25"/>
  <c r="K14" i="23"/>
  <c r="CA17" i="25"/>
  <c r="CE17" i="25"/>
  <c r="O14" i="23" s="1"/>
  <c r="CA16" i="25"/>
  <c r="CC16" i="25"/>
  <c r="CE16" i="25"/>
  <c r="O13" i="23" s="1"/>
  <c r="CB16" i="25"/>
  <c r="M13" i="23" s="1"/>
  <c r="BY16" i="25"/>
  <c r="CD16" i="25"/>
  <c r="K13" i="23"/>
  <c r="BZ16" i="25"/>
  <c r="L13" i="23" s="1"/>
  <c r="D24" i="3"/>
  <c r="D18" i="21" s="1"/>
  <c r="D28" i="3"/>
  <c r="D34" i="21" s="1"/>
  <c r="D2" i="21"/>
  <c r="D8" i="3"/>
  <c r="A12" i="1" s="1"/>
  <c r="C22" i="1" s="1"/>
  <c r="E31" i="3" s="1"/>
  <c r="E46" i="21" s="1"/>
  <c r="D13" i="3"/>
  <c r="E21" i="3" s="1"/>
  <c r="E6" i="21" s="1"/>
  <c r="D4" i="3"/>
  <c r="D25" i="3" s="1"/>
  <c r="D22" i="21" s="1"/>
  <c r="CF36" i="8"/>
  <c r="N29" i="6" s="1"/>
  <c r="CF16" i="8"/>
  <c r="N13" i="6" s="1"/>
  <c r="CF34" i="8"/>
  <c r="N27" i="6" s="1"/>
  <c r="CF37" i="8"/>
  <c r="N30" i="6" s="1"/>
  <c r="D16" i="3"/>
  <c r="D23" i="3" s="1"/>
  <c r="D14" i="21" s="1"/>
  <c r="CF14" i="8"/>
  <c r="N11" i="6" s="1"/>
  <c r="CF67" i="25"/>
  <c r="N54" i="23" s="1"/>
  <c r="B9" i="26"/>
  <c r="E8" i="26" s="1"/>
  <c r="E8" i="10" s="1"/>
  <c r="E22" i="19" s="1"/>
  <c r="CF65" i="25"/>
  <c r="N52" i="23" s="1"/>
  <c r="C9" i="26"/>
  <c r="D9" i="10" s="1"/>
  <c r="D26" i="19" s="1"/>
  <c r="CF66" i="25"/>
  <c r="N53" i="23" s="1"/>
  <c r="CF64" i="25"/>
  <c r="N51" i="23" s="1"/>
  <c r="CF26" i="8"/>
  <c r="N21" i="6" s="1"/>
  <c r="D6" i="3"/>
  <c r="D14" i="3"/>
  <c r="D22" i="3" s="1"/>
  <c r="D10" i="21" s="1"/>
  <c r="CF24" i="8"/>
  <c r="N19" i="6" s="1"/>
  <c r="D11" i="3"/>
  <c r="E20" i="3" s="1"/>
  <c r="D3" i="3"/>
  <c r="CF27" i="8"/>
  <c r="N22" i="6" s="1"/>
  <c r="CF25" i="8"/>
  <c r="N20" i="6" s="1"/>
  <c r="A7" i="1"/>
  <c r="E25" i="3"/>
  <c r="E22" i="21" s="1"/>
  <c r="D6" i="21"/>
  <c r="A13" i="1"/>
  <c r="A30" i="20"/>
  <c r="A5" i="6"/>
  <c r="D30" i="3"/>
  <c r="D42" i="21" s="1"/>
  <c r="E24" i="1"/>
  <c r="D40" i="3" s="1"/>
  <c r="D82" i="21" s="1"/>
  <c r="A38" i="1"/>
  <c r="E14" i="21"/>
  <c r="B5" i="26" l="1"/>
  <c r="E12" i="26" s="1"/>
  <c r="E12" i="10" s="1"/>
  <c r="E38" i="19" s="1"/>
  <c r="CF25" i="25"/>
  <c r="N20" i="23" s="1"/>
  <c r="CF6" i="25"/>
  <c r="N5" i="23" s="1"/>
  <c r="C3" i="26"/>
  <c r="D3" i="10" s="1"/>
  <c r="D2" i="19" s="1"/>
  <c r="CF4" i="25"/>
  <c r="N3" i="23" s="1"/>
  <c r="CF14" i="25"/>
  <c r="N11" i="23" s="1"/>
  <c r="C4" i="26"/>
  <c r="D4" i="10" s="1"/>
  <c r="D6" i="19" s="1"/>
  <c r="CF15" i="25"/>
  <c r="N12" i="23" s="1"/>
  <c r="CF16" i="25"/>
  <c r="N13" i="23" s="1"/>
  <c r="CF17" i="25"/>
  <c r="N14" i="23" s="1"/>
  <c r="B4" i="26"/>
  <c r="E7" i="26" s="1"/>
  <c r="E7" i="10" s="1"/>
  <c r="E18" i="19" s="1"/>
  <c r="D27" i="3"/>
  <c r="D30" i="21" s="1"/>
  <c r="A32" i="1"/>
  <c r="A6" i="1"/>
  <c r="C19" i="1" s="1"/>
  <c r="E30" i="3" s="1"/>
  <c r="E42" i="21" s="1"/>
  <c r="A37" i="1"/>
  <c r="C47" i="1" s="1"/>
  <c r="E29" i="3" s="1"/>
  <c r="E38" i="21" s="1"/>
  <c r="A34" i="1"/>
  <c r="C46" i="1" s="1"/>
  <c r="D29" i="3" s="1"/>
  <c r="D38" i="21" s="1"/>
  <c r="D26" i="3"/>
  <c r="A9" i="1"/>
  <c r="C21" i="1" s="1"/>
  <c r="A4" i="1"/>
  <c r="E24" i="3"/>
  <c r="E18" i="21" s="1"/>
  <c r="A29" i="1"/>
  <c r="E2" i="21"/>
  <c r="A34" i="20"/>
  <c r="A13" i="6"/>
  <c r="D7" i="21" l="1"/>
  <c r="E50" i="1"/>
  <c r="E36" i="3" s="1"/>
  <c r="E66" i="21" s="1"/>
  <c r="E25" i="1"/>
  <c r="E40" i="3" s="1"/>
  <c r="E82" i="21" s="1"/>
  <c r="D31" i="3"/>
  <c r="D46" i="21" s="1"/>
  <c r="D3" i="21"/>
  <c r="D26" i="21"/>
  <c r="A38" i="20"/>
  <c r="A21" i="6"/>
  <c r="A42" i="20" l="1"/>
  <c r="A29" i="6"/>
  <c r="A46" i="20" l="1"/>
  <c r="A6" i="6"/>
  <c r="A50" i="20" l="1"/>
  <c r="A14" i="6"/>
  <c r="A54" i="20" l="1"/>
  <c r="A22" i="6"/>
  <c r="A58" i="20" l="1"/>
  <c r="A30" i="6"/>
  <c r="A62" i="20" l="1"/>
  <c r="A7" i="6"/>
  <c r="A66" i="20" l="1"/>
  <c r="A15" i="6"/>
  <c r="A70" i="20" l="1"/>
  <c r="A23" i="6"/>
  <c r="A74" i="20" l="1"/>
  <c r="A31" i="6"/>
  <c r="A78" i="20" l="1"/>
  <c r="A8" i="6"/>
  <c r="A82" i="20" l="1"/>
  <c r="A16" i="6"/>
  <c r="A86" i="20" l="1"/>
  <c r="A24" i="6"/>
  <c r="A90" i="20" l="1"/>
  <c r="A32" i="6"/>
  <c r="A94" i="20" l="1"/>
  <c r="F3" i="3"/>
  <c r="F34" i="5"/>
  <c r="B8" i="15" s="1"/>
  <c r="B9" i="15" l="1"/>
  <c r="B20" i="3"/>
  <c r="B21" i="3" l="1"/>
  <c r="A2" i="21"/>
  <c r="D29" i="1"/>
  <c r="D32" i="1" l="1"/>
  <c r="A6" i="21"/>
  <c r="B22" i="3"/>
  <c r="D35" i="1" l="1"/>
  <c r="A10" i="21"/>
  <c r="B23" i="3"/>
  <c r="A14" i="21" l="1"/>
  <c r="D38" i="1"/>
  <c r="B24" i="3"/>
  <c r="A18" i="21" l="1"/>
  <c r="D4" i="1"/>
  <c r="B25" i="3"/>
  <c r="A22" i="21" l="1"/>
  <c r="D7" i="1"/>
  <c r="B26" i="3"/>
  <c r="D10" i="1" l="1"/>
  <c r="A26" i="21"/>
  <c r="B27" i="3"/>
  <c r="A30" i="21" l="1"/>
  <c r="D13" i="1"/>
  <c r="B28" i="3"/>
  <c r="A34" i="21" l="1"/>
  <c r="F44" i="1"/>
  <c r="B29" i="3"/>
  <c r="F47" i="1" l="1"/>
  <c r="A38" i="21"/>
  <c r="B30" i="3"/>
  <c r="F19" i="1" l="1"/>
  <c r="A42" i="21"/>
  <c r="B31" i="3"/>
  <c r="A46" i="21" l="1"/>
  <c r="F22" i="1"/>
  <c r="B32" i="3"/>
  <c r="A50" i="21" l="1"/>
  <c r="F30" i="1"/>
  <c r="B33" i="3"/>
  <c r="A54" i="21" l="1"/>
  <c r="F36" i="1"/>
  <c r="B34" i="3"/>
  <c r="A58" i="21" l="1"/>
  <c r="F5" i="1"/>
  <c r="B35" i="3"/>
  <c r="A62" i="21" l="1"/>
  <c r="F11" i="1"/>
  <c r="B36" i="3"/>
  <c r="H50" i="1" l="1"/>
  <c r="A66" i="21"/>
  <c r="B37" i="3"/>
  <c r="H45" i="1" l="1"/>
  <c r="A70" i="21"/>
  <c r="B38" i="3"/>
  <c r="A74" i="21" l="1"/>
  <c r="H40" i="1"/>
  <c r="B39" i="3"/>
  <c r="A78" i="21" l="1"/>
  <c r="H33" i="1"/>
  <c r="B40" i="3"/>
  <c r="H25" i="1" l="1"/>
  <c r="A82" i="21"/>
  <c r="B41" i="3"/>
  <c r="H20" i="1" l="1"/>
  <c r="A86" i="21"/>
  <c r="B42" i="3"/>
  <c r="A90" i="21" l="1"/>
  <c r="H15" i="1"/>
  <c r="B43" i="3"/>
  <c r="A94" i="21" l="1"/>
  <c r="F7" i="3"/>
  <c r="B10" i="15" s="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author>
  </authors>
  <commentList>
    <comment ref="D2" authorId="0" shapeId="0" xr:uid="{00000000-0006-0000-0D00-000001000000}">
      <text>
        <r>
          <rPr>
            <b/>
            <sz val="8"/>
            <color indexed="81"/>
            <rFont val="Tahoma"/>
            <family val="2"/>
            <charset val="238"/>
          </rPr>
          <t>do políček v tomto sloupci vyplnit losovací čísla  1-16
druhých postupujících ze skupin
(např. 16 = druhý ze skupiny 1P)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MS</author>
  </authors>
  <commentList>
    <comment ref="C19" authorId="0" shapeId="0" xr:uid="{00000000-0006-0000-1000-000001000000}">
      <text>
        <r>
          <rPr>
            <b/>
            <sz val="8"/>
            <color indexed="81"/>
            <rFont val="Tahoma"/>
            <family val="2"/>
            <charset val="238"/>
          </rPr>
          <t>do sloupce doplň losovací čísla postupujících z 2. stupně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MS</author>
  </authors>
  <commentList>
    <comment ref="P2" authorId="0" shapeId="0" xr:uid="{00000000-0006-0000-1100-000001000000}">
      <text>
        <r>
          <rPr>
            <b/>
            <sz val="8"/>
            <color indexed="81"/>
            <rFont val="Tahoma"/>
            <family val="2"/>
            <charset val="238"/>
          </rPr>
          <t>Pořadí podle vzájemných zápasů program neumí. Je mi tolíto, pokud by někdo uměl soubory "calc" upravit tak, aby to šlo, tak mi to poraďte.
Očůrat to jde nejlépe tak, že je nutná kontrola tabulek po skončení utkání ve skupinách před losováním dalšího stupně
V případě, že je třeba opravit pořadí jako v příkladu ve skupině 01 (1. hráč má lepší skóre než 2., proto jej program dal na 1. místo, avšak ve vzájemném zápase vyhrál 2. hráč) postupujte výhradně tak, že upravíte vzorec v tabulce:
u hráčů, u kterých chcete pořadí změnit (zde Vogner z 2. na 1. místo a Kuchař z 1. na 2. místo)
- klikněte na pole se jmény hráčů v tabulce (zde K3 a K4)
- prohoďte hodnoty vzorců v těchto buňkách 
zde: 
K3 změnit z "=calc1!BX4" na "=calc1!BX5)
K4 změnit z "=calc1!BX5" na "=calc1!BX4)
- stejně postupujte v buňce "skóre" ve sloupci N
zde:
N3 změnit z "=calc1!CF4" na "=calc1!CF5"
N4 změnit z "=calc1!CF5" na "=calc1!CF4"
Analogicky se postupuje i změně pořadí 3 hráčů se stejným bodovým ziskem. Nejdříve je ovšem nutné spočítat manuálně skóre setů ze vzájemných zápasů (a případně i míčky)</t>
        </r>
      </text>
    </comment>
  </commentList>
</comments>
</file>

<file path=xl/sharedStrings.xml><?xml version="1.0" encoding="utf-8"?>
<sst xmlns="http://schemas.openxmlformats.org/spreadsheetml/2006/main" count="8549" uniqueCount="732">
  <si>
    <t>9.</t>
  </si>
  <si>
    <t>1.</t>
  </si>
  <si>
    <t>10.</t>
  </si>
  <si>
    <t>2.</t>
  </si>
  <si>
    <t>11.</t>
  </si>
  <si>
    <t>3.</t>
  </si>
  <si>
    <t>13.</t>
  </si>
  <si>
    <t>15.</t>
  </si>
  <si>
    <t>5.</t>
  </si>
  <si>
    <t>7.</t>
  </si>
  <si>
    <t>12.</t>
  </si>
  <si>
    <t>4.</t>
  </si>
  <si>
    <t>14.</t>
  </si>
  <si>
    <t>16.</t>
  </si>
  <si>
    <t>6.</t>
  </si>
  <si>
    <t>8.</t>
  </si>
  <si>
    <t>set 1</t>
  </si>
  <si>
    <t>set 2</t>
  </si>
  <si>
    <t>set 3</t>
  </si>
  <si>
    <t>WINNER</t>
  </si>
  <si>
    <t>9/16-1</t>
  </si>
  <si>
    <t>9/16-2</t>
  </si>
  <si>
    <t>9/16-3</t>
  </si>
  <si>
    <t>9/16-4</t>
  </si>
  <si>
    <t>13/16-1</t>
  </si>
  <si>
    <t>13/16-2</t>
  </si>
  <si>
    <t>1/8-1</t>
  </si>
  <si>
    <t>1/8-2</t>
  </si>
  <si>
    <t>1/8-3</t>
  </si>
  <si>
    <t>1/8-4</t>
  </si>
  <si>
    <t>5/8-1</t>
  </si>
  <si>
    <t>5/8-2</t>
  </si>
  <si>
    <t>9/12-1</t>
  </si>
  <si>
    <t>9/12-2</t>
  </si>
  <si>
    <t>1/4-1</t>
  </si>
  <si>
    <t>1/4-2</t>
  </si>
  <si>
    <t>15/16</t>
  </si>
  <si>
    <t>13/14</t>
  </si>
  <si>
    <t>11/12</t>
  </si>
  <si>
    <t>9/10</t>
  </si>
  <si>
    <t>7/8</t>
  </si>
  <si>
    <t>5/6</t>
  </si>
  <si>
    <t>3/4</t>
  </si>
  <si>
    <t>Pos. 1</t>
  </si>
  <si>
    <t>Pos. 2</t>
  </si>
  <si>
    <t>Pos. 3</t>
  </si>
  <si>
    <t>Pos. 4</t>
  </si>
  <si>
    <t>Pos. 5</t>
  </si>
  <si>
    <t>Pos. 6</t>
  </si>
  <si>
    <t>Pos. 7</t>
  </si>
  <si>
    <t>Pos. 8</t>
  </si>
  <si>
    <t>F</t>
  </si>
  <si>
    <t>FIN</t>
  </si>
  <si>
    <t>A</t>
  </si>
  <si>
    <t>1-4 2-3</t>
  </si>
  <si>
    <t>4-2 3-1</t>
  </si>
  <si>
    <t>3-4 1-2</t>
  </si>
  <si>
    <t>B</t>
  </si>
  <si>
    <t>D</t>
  </si>
  <si>
    <t>čas</t>
  </si>
  <si>
    <t>stůl č.</t>
  </si>
  <si>
    <t>domácí</t>
  </si>
  <si>
    <t>hosté</t>
  </si>
  <si>
    <t>hráč / družstvo</t>
  </si>
  <si>
    <t>V</t>
  </si>
  <si>
    <t>P</t>
  </si>
  <si>
    <t>skóre</t>
  </si>
  <si>
    <t>Not play-</t>
  </si>
  <si>
    <t>Prelim table</t>
  </si>
  <si>
    <t xml:space="preserve">Final Table </t>
  </si>
  <si>
    <t>ed ind</t>
  </si>
  <si>
    <t>p</t>
  </si>
  <si>
    <t>w</t>
  </si>
  <si>
    <t>d</t>
  </si>
  <si>
    <t>l</t>
  </si>
  <si>
    <t>f</t>
  </si>
  <si>
    <t>a</t>
  </si>
  <si>
    <t>pts</t>
  </si>
  <si>
    <t>sort 1===========</t>
  </si>
  <si>
    <t>sort 2===========</t>
  </si>
  <si>
    <t>sort 3===========</t>
  </si>
  <si>
    <t>GD calc======</t>
  </si>
  <si>
    <t>GD sort 1============</t>
  </si>
  <si>
    <t>GD sort 2================</t>
  </si>
  <si>
    <t>GD sort 3============</t>
  </si>
  <si>
    <t>TG Calc</t>
  </si>
  <si>
    <t>TG sort 1================</t>
  </si>
  <si>
    <t>TG sort 2================</t>
  </si>
  <si>
    <t>TG sort 3================</t>
  </si>
  <si>
    <t>W</t>
  </si>
  <si>
    <t>L</t>
  </si>
  <si>
    <t>Pts</t>
  </si>
  <si>
    <t>Pts for win</t>
  </si>
  <si>
    <t>STOLY:</t>
  </si>
  <si>
    <t>stůl</t>
  </si>
  <si>
    <t>zápas č.</t>
  </si>
  <si>
    <t>hráč 1</t>
  </si>
  <si>
    <t>hráč 2</t>
  </si>
  <si>
    <t>interval na zápas</t>
  </si>
  <si>
    <t>VÝSL.</t>
  </si>
  <si>
    <t>rozlosování skupin 3. stupeň</t>
  </si>
  <si>
    <t>4. stupeň - los:</t>
  </si>
  <si>
    <t>A1</t>
  </si>
  <si>
    <t>B1</t>
  </si>
  <si>
    <t>C1</t>
  </si>
  <si>
    <t>D1</t>
  </si>
  <si>
    <t>C2</t>
  </si>
  <si>
    <t>B2</t>
  </si>
  <si>
    <t>A2</t>
  </si>
  <si>
    <t>D2</t>
  </si>
  <si>
    <t>1-8</t>
  </si>
  <si>
    <t>9-16</t>
  </si>
  <si>
    <t>ZAČÁTEK 4. STUPNĚ:</t>
  </si>
  <si>
    <t>KONEC 4. STUPNĚ:</t>
  </si>
  <si>
    <t>4. stupeň - zápasy:</t>
  </si>
  <si>
    <t>A3</t>
  </si>
  <si>
    <t>C4</t>
  </si>
  <si>
    <t>B4</t>
  </si>
  <si>
    <t>D3</t>
  </si>
  <si>
    <t>C3</t>
  </si>
  <si>
    <t>A4</t>
  </si>
  <si>
    <t>D4</t>
  </si>
  <si>
    <t>B3</t>
  </si>
  <si>
    <t>ZAČÁTEK 2. STUPNĚ:</t>
  </si>
  <si>
    <t>KONEC 2. STUPNĚ:</t>
  </si>
  <si>
    <t>2. stupeň - zápasy:</t>
  </si>
  <si>
    <t>počet stolů</t>
  </si>
  <si>
    <t>konec 3. stupně</t>
  </si>
  <si>
    <t>pořadí zápasů:</t>
  </si>
  <si>
    <t>4. stupeň - zápasy o pořadí</t>
  </si>
  <si>
    <t>2st-1</t>
  </si>
  <si>
    <t>2st-2</t>
  </si>
  <si>
    <t>2st-3</t>
  </si>
  <si>
    <t>2st-4</t>
  </si>
  <si>
    <t>2st-5</t>
  </si>
  <si>
    <t>2st-6</t>
  </si>
  <si>
    <t>2st-7</t>
  </si>
  <si>
    <t>2st-8</t>
  </si>
  <si>
    <t>zahájení turnaje:</t>
  </si>
  <si>
    <t>poř.</t>
  </si>
  <si>
    <t>skupina 3A</t>
  </si>
  <si>
    <t>skupina 3B</t>
  </si>
  <si>
    <t>skupina 3C</t>
  </si>
  <si>
    <t>skupina 3D</t>
  </si>
  <si>
    <t>počet stolů 1. stupeň:</t>
  </si>
  <si>
    <t>konec 1. stupně:</t>
  </si>
  <si>
    <t>zahájení 2. stupně:</t>
  </si>
  <si>
    <t>konec 2. stupně:</t>
  </si>
  <si>
    <t>zahájení 3. stupně:</t>
  </si>
  <si>
    <t>konec 3. stupně:</t>
  </si>
  <si>
    <t>zahájení 4. stupně:</t>
  </si>
  <si>
    <t>konec 4. stupně:</t>
  </si>
  <si>
    <t>vítěz</t>
  </si>
  <si>
    <t>finále</t>
  </si>
  <si>
    <t>o pořadí 5 - 6</t>
  </si>
  <si>
    <t>o pořadí 7- 8</t>
  </si>
  <si>
    <t>o pořadí 13 - 14</t>
  </si>
  <si>
    <t>o pořadí 15 - 16</t>
  </si>
  <si>
    <t>o pořadí 9-10</t>
  </si>
  <si>
    <t>utkání č.</t>
  </si>
  <si>
    <t>čas:</t>
  </si>
  <si>
    <t>výsledek</t>
  </si>
  <si>
    <t>1. set</t>
  </si>
  <si>
    <t>2. set</t>
  </si>
  <si>
    <t>3. set</t>
  </si>
  <si>
    <t>rozhodčí:</t>
  </si>
  <si>
    <t>vítěz:</t>
  </si>
  <si>
    <t>3A-1</t>
  </si>
  <si>
    <t>3A-2</t>
  </si>
  <si>
    <t>3A-3</t>
  </si>
  <si>
    <t>3A-4</t>
  </si>
  <si>
    <t>3A-5</t>
  </si>
  <si>
    <t>3A-6</t>
  </si>
  <si>
    <t>3B-1</t>
  </si>
  <si>
    <t>3B-2</t>
  </si>
  <si>
    <t>3B-3</t>
  </si>
  <si>
    <t>3B-4</t>
  </si>
  <si>
    <t>3B-5</t>
  </si>
  <si>
    <t>3B-6</t>
  </si>
  <si>
    <t>3C-1</t>
  </si>
  <si>
    <t>3C-2</t>
  </si>
  <si>
    <t>3C-3</t>
  </si>
  <si>
    <t>3C-4</t>
  </si>
  <si>
    <t>3C-5</t>
  </si>
  <si>
    <t>3C-6</t>
  </si>
  <si>
    <t>3D-1</t>
  </si>
  <si>
    <t>3D-2</t>
  </si>
  <si>
    <t>3D-3</t>
  </si>
  <si>
    <t>3D-4</t>
  </si>
  <si>
    <t>3D-5</t>
  </si>
  <si>
    <t>3D-6</t>
  </si>
  <si>
    <t>rozlosování skupin 1. stupeň</t>
  </si>
  <si>
    <t>bye</t>
  </si>
  <si>
    <t>2. STUPEŇ - LOS:</t>
  </si>
  <si>
    <t>vítězové skupin:</t>
  </si>
  <si>
    <t>LOSOVACÍ ČÍSLO:</t>
  </si>
  <si>
    <t>druzí ve skupinách:</t>
  </si>
  <si>
    <t>soupeř (losovací číslo:)</t>
  </si>
  <si>
    <t>2st-9</t>
  </si>
  <si>
    <t>2st-10</t>
  </si>
  <si>
    <t>2st-11</t>
  </si>
  <si>
    <t>2st-12</t>
  </si>
  <si>
    <t>2st-13</t>
  </si>
  <si>
    <t>2st-14</t>
  </si>
  <si>
    <t>2st-15</t>
  </si>
  <si>
    <t>2st-16</t>
  </si>
  <si>
    <t xml:space="preserve"> začátek stupně:</t>
  </si>
  <si>
    <t>los.č.</t>
  </si>
  <si>
    <t>postupující z 2. stupně:</t>
  </si>
  <si>
    <t>!</t>
  </si>
  <si>
    <t>počet stolů 3.-4. stupeň:</t>
  </si>
  <si>
    <t>kolo 1/8</t>
  </si>
  <si>
    <t>kolo 1/4</t>
  </si>
  <si>
    <t>kolo 5/8</t>
  </si>
  <si>
    <t>kolo 9/12</t>
  </si>
  <si>
    <t>kolo 9/16</t>
  </si>
  <si>
    <t>kolo 13/16</t>
  </si>
  <si>
    <t>o pořadí 3 -4:</t>
  </si>
  <si>
    <t>o pořadí 11-12:</t>
  </si>
  <si>
    <t>KONEČNÉ POŘADÍ:</t>
  </si>
  <si>
    <t>5. set</t>
  </si>
  <si>
    <t>4. set</t>
  </si>
  <si>
    <t>ROUND OF 32</t>
  </si>
  <si>
    <t>ROUND OF 16</t>
  </si>
  <si>
    <t>CHAMPION</t>
  </si>
  <si>
    <t>FINAL</t>
  </si>
  <si>
    <t>QUARTERFINAL</t>
  </si>
  <si>
    <t>SEMIFINAL</t>
  </si>
  <si>
    <t>jméno</t>
  </si>
  <si>
    <t>příjmení</t>
  </si>
  <si>
    <t>klub</t>
  </si>
  <si>
    <t>sk.  A</t>
  </si>
  <si>
    <t>sk. B</t>
  </si>
  <si>
    <t>sk. C</t>
  </si>
  <si>
    <t>sk.  D</t>
  </si>
  <si>
    <t>sk.  E</t>
  </si>
  <si>
    <t>sk.  F</t>
  </si>
  <si>
    <t>sk.  G</t>
  </si>
  <si>
    <t>sk.  H</t>
  </si>
  <si>
    <t>sk. I</t>
  </si>
  <si>
    <t>sk.  J</t>
  </si>
  <si>
    <t>sk.  K</t>
  </si>
  <si>
    <t>sk.  L</t>
  </si>
  <si>
    <t>sk.  M</t>
  </si>
  <si>
    <t>sk.  N</t>
  </si>
  <si>
    <t>sk. O</t>
  </si>
  <si>
    <t>sk.  P</t>
  </si>
  <si>
    <t>sk. Q</t>
  </si>
  <si>
    <t>sk.  R</t>
  </si>
  <si>
    <t>sk. S</t>
  </si>
  <si>
    <t>sk.  T</t>
  </si>
  <si>
    <t>M-1</t>
  </si>
  <si>
    <t>M-2</t>
  </si>
  <si>
    <t>M-3</t>
  </si>
  <si>
    <t>M-4</t>
  </si>
  <si>
    <t>M-5</t>
  </si>
  <si>
    <t>M-6</t>
  </si>
  <si>
    <t>N-1</t>
  </si>
  <si>
    <t>N-2</t>
  </si>
  <si>
    <t>N-3</t>
  </si>
  <si>
    <t>N-4</t>
  </si>
  <si>
    <t>N-5</t>
  </si>
  <si>
    <t>N-6</t>
  </si>
  <si>
    <t>O-1</t>
  </si>
  <si>
    <t>O-2</t>
  </si>
  <si>
    <t>O-3</t>
  </si>
  <si>
    <t>O-4</t>
  </si>
  <si>
    <t>O-5</t>
  </si>
  <si>
    <t>O-6</t>
  </si>
  <si>
    <t>P-1</t>
  </si>
  <si>
    <t>P-2</t>
  </si>
  <si>
    <t>P-3</t>
  </si>
  <si>
    <t>P-4</t>
  </si>
  <si>
    <t>P-5</t>
  </si>
  <si>
    <t>P-6</t>
  </si>
  <si>
    <t>Q-1</t>
  </si>
  <si>
    <t>Q-2</t>
  </si>
  <si>
    <t>Q-3</t>
  </si>
  <si>
    <t>Q-4</t>
  </si>
  <si>
    <t>Q-5</t>
  </si>
  <si>
    <t>Q-6</t>
  </si>
  <si>
    <t>R-1</t>
  </si>
  <si>
    <t>R-2</t>
  </si>
  <si>
    <t>R-3</t>
  </si>
  <si>
    <t>R-4</t>
  </si>
  <si>
    <t>R-5</t>
  </si>
  <si>
    <t>R-6</t>
  </si>
  <si>
    <t>S-1</t>
  </si>
  <si>
    <t>S-2</t>
  </si>
  <si>
    <t>S-3</t>
  </si>
  <si>
    <t>S-4</t>
  </si>
  <si>
    <t>S-5</t>
  </si>
  <si>
    <t>S-6</t>
  </si>
  <si>
    <t>T-1</t>
  </si>
  <si>
    <t>T-2</t>
  </si>
  <si>
    <t>T-3</t>
  </si>
  <si>
    <t>T-4</t>
  </si>
  <si>
    <t>T-5</t>
  </si>
  <si>
    <t>T-6</t>
  </si>
  <si>
    <t>BODY</t>
  </si>
  <si>
    <t>SKÓRE</t>
  </si>
  <si>
    <t>Lukáš</t>
  </si>
  <si>
    <t>Michal</t>
  </si>
  <si>
    <t>Petr</t>
  </si>
  <si>
    <t>KRIŠTOF</t>
  </si>
  <si>
    <t>Martin</t>
  </si>
  <si>
    <t>5-8</t>
  </si>
  <si>
    <t>3-4</t>
  </si>
  <si>
    <t>7-8</t>
  </si>
  <si>
    <t>13-16</t>
  </si>
  <si>
    <t>11-12</t>
  </si>
  <si>
    <t>15-16</t>
  </si>
  <si>
    <t>Náhodné číslo:</t>
  </si>
  <si>
    <t>17-32</t>
  </si>
  <si>
    <t>1-16</t>
  </si>
  <si>
    <t>1-4</t>
  </si>
  <si>
    <t>9-12</t>
  </si>
  <si>
    <t>9-10</t>
  </si>
  <si>
    <t>5-6</t>
  </si>
  <si>
    <t>1-2</t>
  </si>
  <si>
    <t>1</t>
  </si>
  <si>
    <t>13-14</t>
  </si>
  <si>
    <t>17-24</t>
  </si>
  <si>
    <t>17-20</t>
  </si>
  <si>
    <t>17-18</t>
  </si>
  <si>
    <t>13</t>
  </si>
  <si>
    <t>1-32</t>
  </si>
  <si>
    <t>TABULKA pro 3-4 hráče</t>
  </si>
  <si>
    <t>TABULKA pro 5-6 hráčů</t>
  </si>
  <si>
    <t>TABULKA pro 7-8 hráčů</t>
  </si>
  <si>
    <t>TABULKA pro 9-10 hráčů</t>
  </si>
  <si>
    <t>TABULKA pro 11-12 hráčů</t>
  </si>
  <si>
    <t>Bergerovy tabulky - rozlosování</t>
  </si>
  <si>
    <t>2-3</t>
  </si>
  <si>
    <t>4-3</t>
  </si>
  <si>
    <t>2-4</t>
  </si>
  <si>
    <t>3-1</t>
  </si>
  <si>
    <t>2-7</t>
  </si>
  <si>
    <t>3-6</t>
  </si>
  <si>
    <t>8-5</t>
  </si>
  <si>
    <t>6-4</t>
  </si>
  <si>
    <t>7-3</t>
  </si>
  <si>
    <t>2-8</t>
  </si>
  <si>
    <t>4-7</t>
  </si>
  <si>
    <t>8-6</t>
  </si>
  <si>
    <t>7-5</t>
  </si>
  <si>
    <t>3-8</t>
  </si>
  <si>
    <t>4-2</t>
  </si>
  <si>
    <t>5-1</t>
  </si>
  <si>
    <t>4-5</t>
  </si>
  <si>
    <t>6-7</t>
  </si>
  <si>
    <t>8-7</t>
  </si>
  <si>
    <t>1-6</t>
  </si>
  <si>
    <t>2-5</t>
  </si>
  <si>
    <t>4-8</t>
  </si>
  <si>
    <t>5-3</t>
  </si>
  <si>
    <t>6-2</t>
  </si>
  <si>
    <t>7-1</t>
  </si>
  <si>
    <t>2-6</t>
  </si>
  <si>
    <t>6-5</t>
  </si>
  <si>
    <t>1-10</t>
  </si>
  <si>
    <t>2-9</t>
  </si>
  <si>
    <t>10-6</t>
  </si>
  <si>
    <t>8-4</t>
  </si>
  <si>
    <t>9-3</t>
  </si>
  <si>
    <t>2-10</t>
  </si>
  <si>
    <t>4-9</t>
  </si>
  <si>
    <t>10-7</t>
  </si>
  <si>
    <t>9-5</t>
  </si>
  <si>
    <t>3-10</t>
  </si>
  <si>
    <t>6-9</t>
  </si>
  <si>
    <t>10-8</t>
  </si>
  <si>
    <t>9-7</t>
  </si>
  <si>
    <t>4-10</t>
  </si>
  <si>
    <t>8-9</t>
  </si>
  <si>
    <t>10-9</t>
  </si>
  <si>
    <t>5-10</t>
  </si>
  <si>
    <t>8-2</t>
  </si>
  <si>
    <t>9-1</t>
  </si>
  <si>
    <t>1-12</t>
  </si>
  <si>
    <t>2-11</t>
  </si>
  <si>
    <t>12-7</t>
  </si>
  <si>
    <t>10-4</t>
  </si>
  <si>
    <t>11-3</t>
  </si>
  <si>
    <t>2-12</t>
  </si>
  <si>
    <t>4-11</t>
  </si>
  <si>
    <t>12-8</t>
  </si>
  <si>
    <t>11-5</t>
  </si>
  <si>
    <t>3-12</t>
  </si>
  <si>
    <t>6-11</t>
  </si>
  <si>
    <t>7-10</t>
  </si>
  <si>
    <t>12-9</t>
  </si>
  <si>
    <t>11-7</t>
  </si>
  <si>
    <t>4-12</t>
  </si>
  <si>
    <t>8-11</t>
  </si>
  <si>
    <t>12-10</t>
  </si>
  <si>
    <t>11-9</t>
  </si>
  <si>
    <t>5-12</t>
  </si>
  <si>
    <t>10-11</t>
  </si>
  <si>
    <t>12-11</t>
  </si>
  <si>
    <t>6-12</t>
  </si>
  <si>
    <t>10-2</t>
  </si>
  <si>
    <t>11-1</t>
  </si>
  <si>
    <t>TABULKA pro 13-14 hráčů</t>
  </si>
  <si>
    <t>14-13</t>
  </si>
  <si>
    <t>TABULKA pro 15-16 hráčů</t>
  </si>
  <si>
    <t>16-13</t>
  </si>
  <si>
    <t>16-14</t>
  </si>
  <si>
    <t>15-13</t>
  </si>
  <si>
    <t>14-15</t>
  </si>
  <si>
    <t>16-15</t>
  </si>
  <si>
    <t>TABULKA pro 17-18 hráčů</t>
  </si>
  <si>
    <t>18-13</t>
  </si>
  <si>
    <t>18-14</t>
  </si>
  <si>
    <t>18-15</t>
  </si>
  <si>
    <t>17-13</t>
  </si>
  <si>
    <t>14-17</t>
  </si>
  <si>
    <t>18-16</t>
  </si>
  <si>
    <t>17-15</t>
  </si>
  <si>
    <t>16-17</t>
  </si>
  <si>
    <t>18-17</t>
  </si>
  <si>
    <t>17.</t>
  </si>
  <si>
    <t>1-14</t>
  </si>
  <si>
    <t>2-13</t>
  </si>
  <si>
    <t>14-8</t>
  </si>
  <si>
    <t>12-4</t>
  </si>
  <si>
    <t>13-3</t>
  </si>
  <si>
    <t>2-14</t>
  </si>
  <si>
    <t>4-13</t>
  </si>
  <si>
    <t>14-9</t>
  </si>
  <si>
    <t>12-6</t>
  </si>
  <si>
    <t>13-5</t>
  </si>
  <si>
    <t>3-14</t>
  </si>
  <si>
    <t>6-13</t>
  </si>
  <si>
    <t>7-12</t>
  </si>
  <si>
    <t>14-10</t>
  </si>
  <si>
    <t>13-7</t>
  </si>
  <si>
    <t>4-14</t>
  </si>
  <si>
    <t>8-13</t>
  </si>
  <si>
    <t>14-11</t>
  </si>
  <si>
    <t>13-9</t>
  </si>
  <si>
    <t>5-14</t>
  </si>
  <si>
    <t>10-13</t>
  </si>
  <si>
    <t>14-12</t>
  </si>
  <si>
    <t>13-11</t>
  </si>
  <si>
    <t>6-14</t>
  </si>
  <si>
    <t>12-13</t>
  </si>
  <si>
    <t>7-14</t>
  </si>
  <si>
    <t>12-2</t>
  </si>
  <si>
    <t>13-1</t>
  </si>
  <si>
    <t>2-15</t>
  </si>
  <si>
    <t>16-9</t>
  </si>
  <si>
    <t>14-4</t>
  </si>
  <si>
    <t>15-3</t>
  </si>
  <si>
    <t>2-16</t>
  </si>
  <si>
    <t>4-15</t>
  </si>
  <si>
    <t>16-10</t>
  </si>
  <si>
    <t>14-6</t>
  </si>
  <si>
    <t>15-5</t>
  </si>
  <si>
    <t>3-16</t>
  </si>
  <si>
    <t>6-15</t>
  </si>
  <si>
    <t>16-11</t>
  </si>
  <si>
    <t>15-7</t>
  </si>
  <si>
    <t>4-16</t>
  </si>
  <si>
    <t>8-15</t>
  </si>
  <si>
    <t>9-14</t>
  </si>
  <si>
    <t>16-12</t>
  </si>
  <si>
    <t>15-9</t>
  </si>
  <si>
    <t>5-16</t>
  </si>
  <si>
    <t>10-15</t>
  </si>
  <si>
    <t>11-14</t>
  </si>
  <si>
    <t>15-11</t>
  </si>
  <si>
    <t>6-16</t>
  </si>
  <si>
    <t>12-15</t>
  </si>
  <si>
    <t>7-16</t>
  </si>
  <si>
    <t>8-16</t>
  </si>
  <si>
    <t>14-2</t>
  </si>
  <si>
    <t>15-1</t>
  </si>
  <si>
    <t>1-18</t>
  </si>
  <si>
    <t>2-17</t>
  </si>
  <si>
    <t>18-10</t>
  </si>
  <si>
    <t>16-4</t>
  </si>
  <si>
    <t>17-3</t>
  </si>
  <si>
    <t>2-18</t>
  </si>
  <si>
    <t>4-17</t>
  </si>
  <si>
    <t>18-11</t>
  </si>
  <si>
    <t>16-6</t>
  </si>
  <si>
    <t>17-5</t>
  </si>
  <si>
    <t>3-18</t>
  </si>
  <si>
    <t>6-17</t>
  </si>
  <si>
    <t>18-12</t>
  </si>
  <si>
    <t>16-8</t>
  </si>
  <si>
    <t>17-7</t>
  </si>
  <si>
    <t>4-18</t>
  </si>
  <si>
    <t>8-17</t>
  </si>
  <si>
    <t>17-9</t>
  </si>
  <si>
    <t>5-18</t>
  </si>
  <si>
    <t>10-17</t>
  </si>
  <si>
    <t>11-16</t>
  </si>
  <si>
    <t>17-11</t>
  </si>
  <si>
    <t>6-18</t>
  </si>
  <si>
    <t>12-17</t>
  </si>
  <si>
    <t>7-18</t>
  </si>
  <si>
    <t>8-18</t>
  </si>
  <si>
    <t>9-18</t>
  </si>
  <si>
    <t>16-2</t>
  </si>
  <si>
    <t>17-1</t>
  </si>
  <si>
    <t>skupina A1</t>
  </si>
  <si>
    <t>skupina A2</t>
  </si>
  <si>
    <t>skupina A3</t>
  </si>
  <si>
    <t>skupina A4</t>
  </si>
  <si>
    <t>skupina B3</t>
  </si>
  <si>
    <t>skupina B4</t>
  </si>
  <si>
    <t>skupina B5</t>
  </si>
  <si>
    <t>skupina B6</t>
  </si>
  <si>
    <t>skupina B7</t>
  </si>
  <si>
    <t>skupina B8</t>
  </si>
  <si>
    <t>POŘADÍ</t>
  </si>
  <si>
    <t>A1-1</t>
  </si>
  <si>
    <t>A1-2</t>
  </si>
  <si>
    <t>A1-3</t>
  </si>
  <si>
    <t>A1-4</t>
  </si>
  <si>
    <t>A1-5</t>
  </si>
  <si>
    <t>A1-6</t>
  </si>
  <si>
    <t>A2-1</t>
  </si>
  <si>
    <t>A2-2</t>
  </si>
  <si>
    <t>A2-3</t>
  </si>
  <si>
    <t>A2-4</t>
  </si>
  <si>
    <t>A2-5</t>
  </si>
  <si>
    <t>A2-6</t>
  </si>
  <si>
    <t>A3-1</t>
  </si>
  <si>
    <t>A3-2</t>
  </si>
  <si>
    <t>A3-3</t>
  </si>
  <si>
    <t>A3-4</t>
  </si>
  <si>
    <t>A3-5</t>
  </si>
  <si>
    <t>A3-6</t>
  </si>
  <si>
    <t>A4-1</t>
  </si>
  <si>
    <t>A4-2</t>
  </si>
  <si>
    <t>A4-3</t>
  </si>
  <si>
    <t>A4-4</t>
  </si>
  <si>
    <t>A4-5</t>
  </si>
  <si>
    <t>A4-6</t>
  </si>
  <si>
    <t>B1-1</t>
  </si>
  <si>
    <t>B1-2</t>
  </si>
  <si>
    <t>B1-3</t>
  </si>
  <si>
    <t>B1-4</t>
  </si>
  <si>
    <t>B2-1</t>
  </si>
  <si>
    <t>B2-2</t>
  </si>
  <si>
    <t>B2-3</t>
  </si>
  <si>
    <t>B2-4</t>
  </si>
  <si>
    <t>B3-1</t>
  </si>
  <si>
    <t>B3-2</t>
  </si>
  <si>
    <t>B3-3</t>
  </si>
  <si>
    <t>B3-4</t>
  </si>
  <si>
    <t>B4-1</t>
  </si>
  <si>
    <t>B4-2</t>
  </si>
  <si>
    <t>B4-3</t>
  </si>
  <si>
    <t>B4-4</t>
  </si>
  <si>
    <t>B5-1</t>
  </si>
  <si>
    <t>B5-2</t>
  </si>
  <si>
    <t>B5-3</t>
  </si>
  <si>
    <t>B5-4</t>
  </si>
  <si>
    <t>B5-5</t>
  </si>
  <si>
    <t>B5-6</t>
  </si>
  <si>
    <t>B6-1</t>
  </si>
  <si>
    <t>B6-2</t>
  </si>
  <si>
    <t>B6-3</t>
  </si>
  <si>
    <t>B6-4</t>
  </si>
  <si>
    <t>B6-5</t>
  </si>
  <si>
    <t>B6-6</t>
  </si>
  <si>
    <t>B7-1</t>
  </si>
  <si>
    <t>B7-2</t>
  </si>
  <si>
    <t>B7-3</t>
  </si>
  <si>
    <t>B7-4</t>
  </si>
  <si>
    <t>B7-5</t>
  </si>
  <si>
    <t>B7-6</t>
  </si>
  <si>
    <t>B8-1</t>
  </si>
  <si>
    <t>B8-2</t>
  </si>
  <si>
    <t>B8-3</t>
  </si>
  <si>
    <t>B8-4</t>
  </si>
  <si>
    <t>B8-5</t>
  </si>
  <si>
    <t>B8-6</t>
  </si>
  <si>
    <t>1 - 4</t>
  </si>
  <si>
    <t>2 - 3</t>
  </si>
  <si>
    <t>4 - 3</t>
  </si>
  <si>
    <t>1 - 2</t>
  </si>
  <si>
    <t>2 - 4</t>
  </si>
  <si>
    <t>3 - 1</t>
  </si>
  <si>
    <t>17</t>
  </si>
  <si>
    <t>Kategorie B - horní pavouk (1. - 16. místo)</t>
  </si>
  <si>
    <t>Kategorie B - spodní pavouk (17. - 32. místo)</t>
  </si>
  <si>
    <t>BTM Tišnov 29.8.2021</t>
  </si>
  <si>
    <t>skupina A5</t>
  </si>
  <si>
    <t>skupina A6</t>
  </si>
  <si>
    <t>skupina B9</t>
  </si>
  <si>
    <t>skupina B10</t>
  </si>
  <si>
    <t>skupina B11</t>
  </si>
  <si>
    <t>skupina B12</t>
  </si>
  <si>
    <t>skupina B13</t>
  </si>
  <si>
    <t>skupina B14</t>
  </si>
  <si>
    <t>BYE</t>
  </si>
  <si>
    <t>A5-1</t>
  </si>
  <si>
    <t>A6-1</t>
  </si>
  <si>
    <t>A6-2</t>
  </si>
  <si>
    <t>A5-2</t>
  </si>
  <si>
    <t>Kategorie A - horní pavouk (1. - 12. místo)</t>
  </si>
  <si>
    <t>Kategorie A - spodní pavouk (13. - 24. místo)</t>
  </si>
  <si>
    <t>A5-3</t>
  </si>
  <si>
    <t>A6-4</t>
  </si>
  <si>
    <t>A5-4</t>
  </si>
  <si>
    <t>A6-3</t>
  </si>
  <si>
    <t>13-24</t>
  </si>
  <si>
    <t>13-20</t>
  </si>
  <si>
    <t>A7-2</t>
  </si>
  <si>
    <t>A8-1</t>
  </si>
  <si>
    <t>A7-1</t>
  </si>
  <si>
    <t>A8-2</t>
  </si>
  <si>
    <t>A7-4</t>
  </si>
  <si>
    <t>A8-3</t>
  </si>
  <si>
    <t>A7-3</t>
  </si>
  <si>
    <t>A8-4</t>
  </si>
  <si>
    <t>Kategorie B - horní pavouk (1. - 32. místo)</t>
  </si>
  <si>
    <t>Kategorie B - horní pavouk (33. - 64. místo)</t>
  </si>
  <si>
    <t>33-64</t>
  </si>
  <si>
    <t>33-48</t>
  </si>
  <si>
    <t>33-40</t>
  </si>
  <si>
    <t>33-36</t>
  </si>
  <si>
    <t>33-34</t>
  </si>
  <si>
    <t>33</t>
  </si>
  <si>
    <t>Kategorie B - horní pavouk (1. - 8. místo)</t>
  </si>
  <si>
    <t>ROUND OF 8</t>
  </si>
  <si>
    <t>Kategorie B - spodní pavouk (9. - 16. místo)</t>
  </si>
  <si>
    <t>9</t>
  </si>
  <si>
    <t>MSK Břeclav</t>
  </si>
  <si>
    <t>KST Blansko</t>
  </si>
  <si>
    <t>Filip</t>
  </si>
  <si>
    <t>TTC Koral Tišnov</t>
  </si>
  <si>
    <t>Anastasiia</t>
  </si>
  <si>
    <t>DREITS</t>
  </si>
  <si>
    <t>Karolína</t>
  </si>
  <si>
    <t>LUSKA</t>
  </si>
  <si>
    <t>Monika</t>
  </si>
  <si>
    <t>SOBOTÍKOVÁ</t>
  </si>
  <si>
    <t>David</t>
  </si>
  <si>
    <t>KREJČÍ</t>
  </si>
  <si>
    <t>KST Vyškov</t>
  </si>
  <si>
    <t>TTC MS Brno</t>
  </si>
  <si>
    <t>Matěj</t>
  </si>
  <si>
    <t>Richard</t>
  </si>
  <si>
    <t>PAŘÍZEK</t>
  </si>
  <si>
    <t>Ondřej</t>
  </si>
  <si>
    <t>KRÁL</t>
  </si>
  <si>
    <t>Simona</t>
  </si>
  <si>
    <t>HOLUBOVÁ</t>
  </si>
  <si>
    <t>Eliška</t>
  </si>
  <si>
    <t>NOVOTNÁ</t>
  </si>
  <si>
    <t>SKST Hodonín</t>
  </si>
  <si>
    <t>Pořadí</t>
  </si>
  <si>
    <t>Celé jméno</t>
  </si>
  <si>
    <t>skupina A7</t>
  </si>
  <si>
    <t>skupina A8</t>
  </si>
  <si>
    <t>A5-5</t>
  </si>
  <si>
    <t>A5-6</t>
  </si>
  <si>
    <t>A6-5</t>
  </si>
  <si>
    <t>A6-6</t>
  </si>
  <si>
    <t>A7-5</t>
  </si>
  <si>
    <t>A7-6</t>
  </si>
  <si>
    <t>A8-5</t>
  </si>
  <si>
    <t>A8-6</t>
  </si>
  <si>
    <t>15-22</t>
  </si>
  <si>
    <t>w:o</t>
  </si>
  <si>
    <t>Ročník</t>
  </si>
  <si>
    <t>Kategorie A - horní pavouk (1. - 16. místo)</t>
  </si>
  <si>
    <t>POKORNÝ</t>
  </si>
  <si>
    <t>ŠTĚPÁNEK</t>
  </si>
  <si>
    <t>NOVOHRADSKÁ</t>
  </si>
  <si>
    <t>Kristýna</t>
  </si>
  <si>
    <t>MAZALOVÁ</t>
  </si>
  <si>
    <t>Lea</t>
  </si>
  <si>
    <t>PILITOWSKÁ</t>
  </si>
  <si>
    <t>Michaela</t>
  </si>
  <si>
    <t>HABÁŇOVÁ</t>
  </si>
  <si>
    <t>BTM Tišnov 5.9.2021</t>
  </si>
  <si>
    <t>Tomáš</t>
  </si>
  <si>
    <t>BAHENSKÝ</t>
  </si>
  <si>
    <t>KURDIOVSKÝ</t>
  </si>
  <si>
    <t>Lucie</t>
  </si>
  <si>
    <t>Jaroslav</t>
  </si>
  <si>
    <t>GRABOVSKÝ</t>
  </si>
  <si>
    <t>ŠTĚRBÁK</t>
  </si>
  <si>
    <t>KOTÁSKOVÁ</t>
  </si>
  <si>
    <t>DOFEK</t>
  </si>
  <si>
    <t>SVOBODA</t>
  </si>
  <si>
    <t>GRÜNWALD</t>
  </si>
  <si>
    <t>Oliver</t>
  </si>
  <si>
    <t>VINCENEC</t>
  </si>
  <si>
    <t>HORNÍČEK</t>
  </si>
  <si>
    <t>HAVRÁNEK</t>
  </si>
  <si>
    <t>Robin</t>
  </si>
  <si>
    <t>ŠIMEČEK</t>
  </si>
  <si>
    <t>BUK</t>
  </si>
  <si>
    <t>CHALÚPEK</t>
  </si>
  <si>
    <t>MASOPUSTOVÁ</t>
  </si>
  <si>
    <t>Kategorie A - spodní pavouk (17. - 30. místo)</t>
  </si>
  <si>
    <t>(5,3,9)</t>
  </si>
  <si>
    <t>(2,8,12)</t>
  </si>
  <si>
    <t>(3,6,7)</t>
  </si>
  <si>
    <t>(8,8,5)</t>
  </si>
  <si>
    <t>(-7,6,2,8)</t>
  </si>
  <si>
    <t>(8,8,-9,3)</t>
  </si>
  <si>
    <t>(6,5,12)</t>
  </si>
  <si>
    <t>(8,9,4)</t>
  </si>
  <si>
    <t>(9,10,-5,6)</t>
  </si>
  <si>
    <t>(5,7,5)</t>
  </si>
  <si>
    <t>(7,4,5)</t>
  </si>
  <si>
    <t>(-18,7,-7,10,4)</t>
  </si>
  <si>
    <t>(8,-7,7,-10,11)</t>
  </si>
  <si>
    <t>(7,7,10)</t>
  </si>
  <si>
    <t>(7,-7,5,9)</t>
  </si>
  <si>
    <t>(9,7,6)</t>
  </si>
  <si>
    <t>(-8,6,-8,9,6)</t>
  </si>
  <si>
    <t>(4,-13,-4,10,2)</t>
  </si>
  <si>
    <t>(-8,9,8,10)</t>
  </si>
  <si>
    <t>(6,8,7)</t>
  </si>
  <si>
    <t>(-8,9,5,8)</t>
  </si>
  <si>
    <t>(7,5,7)</t>
  </si>
  <si>
    <t>(5,5,8)</t>
  </si>
  <si>
    <t>(3,4,7)</t>
  </si>
  <si>
    <t>(-9,9,10,8)</t>
  </si>
  <si>
    <t>(-6,7,11,7)</t>
  </si>
  <si>
    <t>(10,9,7)</t>
  </si>
  <si>
    <t>(15,4,9)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</si>
</sst>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m\/yy"/>
  </numFmts>
  <fonts count="74" x14ac:knownFonts="1">
    <font>
      <sz val="10"/>
      <name val="Arial CE"/>
      <charset val="238"/>
    </font>
    <font>
      <b/>
      <sz val="10"/>
      <name val="Verdana"/>
      <family val="2"/>
      <charset val="238"/>
    </font>
    <font>
      <sz val="10"/>
      <name val="Verdana"/>
      <family val="2"/>
      <charset val="238"/>
    </font>
    <font>
      <b/>
      <sz val="10"/>
      <color indexed="12"/>
      <name val="Verdana"/>
      <family val="2"/>
      <charset val="238"/>
    </font>
    <font>
      <b/>
      <sz val="10"/>
      <color indexed="10"/>
      <name val="Verdana"/>
      <family val="2"/>
      <charset val="238"/>
    </font>
    <font>
      <sz val="8"/>
      <name val="Verdana"/>
      <family val="2"/>
      <charset val="238"/>
    </font>
    <font>
      <b/>
      <sz val="8"/>
      <color indexed="10"/>
      <name val="Verdana"/>
      <family val="2"/>
      <charset val="238"/>
    </font>
    <font>
      <b/>
      <sz val="14"/>
      <name val="Verdana"/>
      <family val="2"/>
      <charset val="238"/>
    </font>
    <font>
      <b/>
      <sz val="11"/>
      <name val="Verdana"/>
      <family val="2"/>
      <charset val="238"/>
    </font>
    <font>
      <sz val="11"/>
      <name val="Verdana"/>
      <family val="2"/>
      <charset val="238"/>
    </font>
    <font>
      <b/>
      <sz val="16"/>
      <name val="Verdana"/>
      <family val="2"/>
      <charset val="238"/>
    </font>
    <font>
      <sz val="16"/>
      <name val="Verdana"/>
      <family val="2"/>
      <charset val="238"/>
    </font>
    <font>
      <b/>
      <sz val="12"/>
      <name val="Verdana"/>
      <family val="2"/>
      <charset val="238"/>
    </font>
    <font>
      <sz val="12"/>
      <name val="Verdana"/>
      <family val="2"/>
      <charset val="238"/>
    </font>
    <font>
      <b/>
      <sz val="8"/>
      <name val="Verdana"/>
      <family val="2"/>
      <charset val="238"/>
    </font>
    <font>
      <sz val="9"/>
      <name val="Verdana"/>
      <family val="2"/>
      <charset val="238"/>
    </font>
    <font>
      <b/>
      <sz val="9"/>
      <color indexed="10"/>
      <name val="Verdana"/>
      <family val="2"/>
      <charset val="238"/>
    </font>
    <font>
      <sz val="10"/>
      <name val="Arial"/>
      <family val="2"/>
      <charset val="238"/>
    </font>
    <font>
      <u/>
      <sz val="10"/>
      <color indexed="12"/>
      <name val="Arial"/>
      <family val="2"/>
      <charset val="238"/>
    </font>
    <font>
      <sz val="10"/>
      <color indexed="12"/>
      <name val="Arial"/>
      <family val="2"/>
    </font>
    <font>
      <sz val="8"/>
      <name val="Arial"/>
      <family val="2"/>
      <charset val="238"/>
    </font>
    <font>
      <b/>
      <sz val="8"/>
      <name val="Arial"/>
      <family val="2"/>
      <charset val="238"/>
    </font>
    <font>
      <sz val="8"/>
      <color indexed="9"/>
      <name val="Arial"/>
      <family val="2"/>
      <charset val="238"/>
    </font>
    <font>
      <sz val="10"/>
      <color indexed="10"/>
      <name val="Arial"/>
      <family val="2"/>
      <charset val="238"/>
    </font>
    <font>
      <b/>
      <sz val="8"/>
      <color indexed="12"/>
      <name val="Verdana"/>
      <family val="2"/>
      <charset val="238"/>
    </font>
    <font>
      <b/>
      <sz val="10"/>
      <color indexed="17"/>
      <name val="Arial"/>
      <family val="2"/>
      <charset val="238"/>
    </font>
    <font>
      <b/>
      <sz val="11"/>
      <name val="Arial"/>
      <family val="2"/>
      <charset val="238"/>
    </font>
    <font>
      <sz val="12"/>
      <name val="Arial"/>
      <family val="2"/>
      <charset val="238"/>
    </font>
    <font>
      <b/>
      <sz val="12"/>
      <color indexed="10"/>
      <name val="Arial"/>
      <family val="2"/>
      <charset val="238"/>
    </font>
    <font>
      <sz val="12"/>
      <color indexed="10"/>
      <name val="Arial"/>
      <family val="2"/>
      <charset val="238"/>
    </font>
    <font>
      <b/>
      <sz val="24"/>
      <name val="Arial CE"/>
      <family val="2"/>
      <charset val="238"/>
    </font>
    <font>
      <sz val="24"/>
      <name val="Arial CE"/>
      <family val="2"/>
      <charset val="238"/>
    </font>
    <font>
      <sz val="8"/>
      <name val="Times New Roman CE"/>
    </font>
    <font>
      <sz val="10"/>
      <name val="Arial"/>
      <family val="2"/>
      <charset val="238"/>
    </font>
    <font>
      <b/>
      <sz val="10"/>
      <name val="Arial"/>
      <family val="2"/>
      <charset val="238"/>
    </font>
    <font>
      <sz val="9"/>
      <name val="Arial"/>
      <family val="2"/>
      <charset val="238"/>
    </font>
    <font>
      <b/>
      <sz val="9"/>
      <name val="Arial"/>
      <family val="2"/>
      <charset val="238"/>
    </font>
    <font>
      <sz val="18"/>
      <name val="Arial"/>
      <family val="2"/>
      <charset val="238"/>
    </font>
    <font>
      <sz val="8"/>
      <name val="Arial CE"/>
      <charset val="238"/>
    </font>
    <font>
      <sz val="10"/>
      <name val="MS Sans Serif"/>
      <family val="2"/>
      <charset val="238"/>
    </font>
    <font>
      <sz val="8"/>
      <name val="Times New Roman CE"/>
      <charset val="238"/>
    </font>
    <font>
      <b/>
      <sz val="9"/>
      <name val="Verdana"/>
      <family val="2"/>
      <charset val="238"/>
    </font>
    <font>
      <b/>
      <sz val="9"/>
      <color indexed="12"/>
      <name val="Verdana"/>
      <family val="2"/>
      <charset val="238"/>
    </font>
    <font>
      <b/>
      <sz val="9"/>
      <color indexed="9"/>
      <name val="Verdana"/>
      <family val="2"/>
      <charset val="238"/>
    </font>
    <font>
      <b/>
      <sz val="8"/>
      <color indexed="43"/>
      <name val="Verdana"/>
      <family val="2"/>
      <charset val="238"/>
    </font>
    <font>
      <b/>
      <sz val="8"/>
      <color indexed="81"/>
      <name val="Tahoma"/>
      <family val="2"/>
      <charset val="238"/>
    </font>
    <font>
      <sz val="20"/>
      <name val="Arial"/>
      <family val="2"/>
      <charset val="238"/>
    </font>
    <font>
      <sz val="8"/>
      <color indexed="10"/>
      <name val="Arial"/>
      <family val="2"/>
      <charset val="238"/>
    </font>
    <font>
      <b/>
      <sz val="8"/>
      <color indexed="43"/>
      <name val="Arial"/>
      <family val="2"/>
      <charset val="238"/>
    </font>
    <font>
      <b/>
      <sz val="10"/>
      <color indexed="10"/>
      <name val="Arial"/>
      <family val="2"/>
      <charset val="238"/>
    </font>
    <font>
      <sz val="10"/>
      <color indexed="12"/>
      <name val="Arial"/>
      <family val="2"/>
      <charset val="238"/>
    </font>
    <font>
      <sz val="10"/>
      <color indexed="43"/>
      <name val="Arial"/>
      <family val="2"/>
      <charset val="238"/>
    </font>
    <font>
      <b/>
      <sz val="10"/>
      <color indexed="44"/>
      <name val="Arial"/>
      <family val="2"/>
      <charset val="238"/>
    </font>
    <font>
      <b/>
      <sz val="8"/>
      <color indexed="12"/>
      <name val="Arial"/>
      <family val="2"/>
      <charset val="238"/>
    </font>
    <font>
      <b/>
      <sz val="8"/>
      <color indexed="10"/>
      <name val="Arial"/>
      <family val="2"/>
      <charset val="238"/>
    </font>
    <font>
      <b/>
      <sz val="10"/>
      <name val="Arial CE"/>
      <charset val="238"/>
    </font>
    <font>
      <b/>
      <sz val="12"/>
      <name val="Arial"/>
      <family val="2"/>
      <charset val="238"/>
    </font>
    <font>
      <sz val="9"/>
      <name val="Arial CE"/>
      <charset val="238"/>
    </font>
    <font>
      <sz val="72"/>
      <name val="Arial"/>
      <family val="2"/>
      <charset val="238"/>
    </font>
    <font>
      <b/>
      <sz val="8"/>
      <color rgb="FFFF0000"/>
      <name val="Arial"/>
      <family val="2"/>
      <charset val="238"/>
    </font>
    <font>
      <sz val="10"/>
      <name val="Calibri"/>
      <family val="2"/>
      <charset val="238"/>
      <scheme val="minor"/>
    </font>
    <font>
      <sz val="12"/>
      <name val="Calibri"/>
      <family val="2"/>
      <charset val="238"/>
      <scheme val="minor"/>
    </font>
    <font>
      <sz val="8"/>
      <name val="Calibri"/>
      <family val="2"/>
      <charset val="238"/>
      <scheme val="minor"/>
    </font>
    <font>
      <sz val="14"/>
      <name val="Calibri"/>
      <family val="2"/>
      <charset val="238"/>
      <scheme val="minor"/>
    </font>
    <font>
      <b/>
      <sz val="16"/>
      <color theme="5"/>
      <name val="Calibri"/>
      <family val="2"/>
      <charset val="238"/>
      <scheme val="minor"/>
    </font>
    <font>
      <sz val="10"/>
      <color theme="5"/>
      <name val="Calibri"/>
      <family val="2"/>
      <charset val="238"/>
      <scheme val="minor"/>
    </font>
    <font>
      <sz val="10"/>
      <color theme="5"/>
      <name val="Arial CE"/>
      <charset val="238"/>
    </font>
    <font>
      <sz val="14"/>
      <color theme="5"/>
      <name val="Calibri"/>
      <family val="2"/>
      <charset val="238"/>
      <scheme val="minor"/>
    </font>
    <font>
      <sz val="16"/>
      <color theme="5"/>
      <name val="Calibri"/>
      <family val="2"/>
      <charset val="238"/>
      <scheme val="minor"/>
    </font>
    <font>
      <sz val="12"/>
      <name val="Arial CE"/>
      <charset val="238"/>
    </font>
    <font>
      <sz val="16"/>
      <name val="Arial CE"/>
      <charset val="238"/>
    </font>
    <font>
      <b/>
      <sz val="14"/>
      <name val="Arial"/>
      <family val="2"/>
      <charset val="238"/>
    </font>
    <font>
      <b/>
      <sz val="18"/>
      <name val="Arial CE"/>
      <charset val="238"/>
    </font>
    <font>
      <sz val="10"/>
      <name val="Arial CE"/>
      <charset val="238"/>
    </font>
  </fonts>
  <fills count="14">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56"/>
      </patternFill>
    </fill>
    <fill>
      <patternFill patternType="solid">
        <fgColor indexed="16"/>
      </patternFill>
    </fill>
    <fill>
      <patternFill patternType="solid">
        <fgColor indexed="43"/>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rgb="FFFF0000"/>
        <bgColor indexed="64"/>
      </patternFill>
    </fill>
  </fills>
  <borders count="69">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bottom/>
      <diagonal/>
    </border>
    <border>
      <left/>
      <right/>
      <top style="thick">
        <color indexed="64"/>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diagonal/>
    </border>
    <border>
      <left style="hair">
        <color indexed="64"/>
      </left>
      <right/>
      <top/>
      <bottom style="hair">
        <color indexed="64"/>
      </bottom>
      <diagonal/>
    </border>
    <border>
      <left/>
      <right/>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top/>
      <bottom/>
      <diagonal/>
    </border>
    <border>
      <left style="hair">
        <color indexed="64"/>
      </left>
      <right/>
      <top style="hair">
        <color indexed="64"/>
      </top>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s>
  <cellStyleXfs count="7">
    <xf numFmtId="0" fontId="0" fillId="0" borderId="0"/>
    <xf numFmtId="164" fontId="17" fillId="0" borderId="0" applyFont="0" applyFill="0" applyBorder="0" applyAlignment="0" applyProtection="0"/>
    <xf numFmtId="0" fontId="18" fillId="0" borderId="0" applyNumberFormat="0" applyFill="0" applyBorder="0" applyAlignment="0" applyProtection="0">
      <alignment vertical="top"/>
      <protection locked="0"/>
    </xf>
    <xf numFmtId="0" fontId="33" fillId="0" borderId="0"/>
    <xf numFmtId="0" fontId="17" fillId="0" borderId="0"/>
    <xf numFmtId="0" fontId="32" fillId="0" borderId="0"/>
    <xf numFmtId="0" fontId="40" fillId="0" borderId="0"/>
  </cellStyleXfs>
  <cellXfs count="473">
    <xf numFmtId="0" fontId="0" fillId="0" borderId="0" xfId="0"/>
    <xf numFmtId="0" fontId="2" fillId="0" borderId="0" xfId="0" applyNumberFormat="1" applyFont="1" applyBorder="1" applyAlignment="1">
      <alignment horizontal="center" vertical="center"/>
    </xf>
    <xf numFmtId="0" fontId="2"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1" xfId="0" applyFont="1" applyBorder="1" applyAlignment="1">
      <alignment horizontal="right" vertical="center"/>
    </xf>
    <xf numFmtId="0" fontId="8" fillId="0" borderId="1" xfId="0" applyFont="1" applyBorder="1" applyAlignment="1">
      <alignment vertical="center"/>
    </xf>
    <xf numFmtId="0" fontId="9" fillId="0" borderId="2" xfId="0" applyFont="1" applyBorder="1" applyAlignment="1">
      <alignment horizontal="right" vertical="center"/>
    </xf>
    <xf numFmtId="0" fontId="9" fillId="0" borderId="2" xfId="0" applyFont="1" applyBorder="1" applyAlignment="1">
      <alignment vertical="center"/>
    </xf>
    <xf numFmtId="0" fontId="5" fillId="0" borderId="0" xfId="0" applyFont="1" applyAlignment="1">
      <alignment vertical="center"/>
    </xf>
    <xf numFmtId="0" fontId="13" fillId="0" borderId="0" xfId="0" applyFont="1" applyAlignment="1">
      <alignment vertical="center"/>
    </xf>
    <xf numFmtId="49" fontId="2" fillId="0" borderId="2" xfId="0" applyNumberFormat="1" applyFont="1" applyBorder="1" applyAlignment="1">
      <alignment vertical="center"/>
    </xf>
    <xf numFmtId="0" fontId="2" fillId="0" borderId="2" xfId="0" applyFont="1" applyBorder="1" applyAlignment="1">
      <alignment vertical="center"/>
    </xf>
    <xf numFmtId="0" fontId="1" fillId="0" borderId="2" xfId="0" applyFont="1" applyBorder="1" applyAlignment="1">
      <alignment horizontal="center" vertical="center"/>
    </xf>
    <xf numFmtId="49" fontId="4" fillId="0" borderId="2" xfId="0" applyNumberFormat="1" applyFont="1" applyBorder="1" applyAlignment="1">
      <alignment vertical="center"/>
    </xf>
    <xf numFmtId="0" fontId="4" fillId="0" borderId="2" xfId="0" applyFont="1" applyBorder="1" applyAlignment="1">
      <alignment horizontal="center" vertical="center"/>
    </xf>
    <xf numFmtId="0" fontId="4" fillId="0" borderId="0" xfId="0" applyFont="1" applyAlignment="1">
      <alignment vertical="center"/>
    </xf>
    <xf numFmtId="49" fontId="2" fillId="0" borderId="0" xfId="0" applyNumberFormat="1" applyFont="1" applyAlignment="1">
      <alignment vertical="center"/>
    </xf>
    <xf numFmtId="49" fontId="5" fillId="0" borderId="2" xfId="0" applyNumberFormat="1" applyFont="1" applyBorder="1" applyAlignment="1">
      <alignment vertical="center"/>
    </xf>
    <xf numFmtId="0" fontId="1" fillId="0" borderId="0" xfId="0" applyNumberFormat="1" applyFont="1" applyBorder="1" applyAlignment="1">
      <alignment horizontal="centerContinuous" vertical="center"/>
    </xf>
    <xf numFmtId="0" fontId="15" fillId="0" borderId="2" xfId="0" applyFont="1" applyBorder="1" applyAlignment="1">
      <alignment horizontal="left" vertical="center"/>
    </xf>
    <xf numFmtId="0" fontId="16" fillId="0" borderId="2" xfId="0" applyFont="1" applyBorder="1" applyAlignment="1">
      <alignment horizontal="left" vertical="center"/>
    </xf>
    <xf numFmtId="0" fontId="2" fillId="2" borderId="3" xfId="0" applyFont="1" applyFill="1" applyBorder="1" applyAlignment="1">
      <alignment vertical="center"/>
    </xf>
    <xf numFmtId="0" fontId="4" fillId="2" borderId="3" xfId="0" applyFont="1" applyFill="1" applyBorder="1" applyAlignment="1">
      <alignment vertical="center"/>
    </xf>
    <xf numFmtId="0" fontId="17" fillId="0" borderId="0" xfId="4" applyAlignment="1">
      <alignment vertical="center"/>
    </xf>
    <xf numFmtId="0" fontId="17" fillId="0" borderId="0" xfId="4"/>
    <xf numFmtId="0" fontId="6" fillId="0" borderId="0" xfId="0" applyFont="1" applyFill="1" applyAlignment="1">
      <alignment horizontal="left" vertical="center"/>
    </xf>
    <xf numFmtId="0" fontId="14" fillId="0" borderId="0" xfId="0" applyFont="1" applyFill="1" applyAlignment="1">
      <alignment horizontal="left" vertical="center"/>
    </xf>
    <xf numFmtId="0" fontId="21" fillId="3" borderId="0" xfId="4" applyFont="1" applyFill="1" applyAlignment="1">
      <alignment horizontal="center" vertical="center"/>
    </xf>
    <xf numFmtId="0" fontId="20" fillId="0" borderId="0" xfId="4" applyFont="1" applyAlignment="1">
      <alignment vertical="center"/>
    </xf>
    <xf numFmtId="0" fontId="22" fillId="4" borderId="0" xfId="4" applyFont="1" applyFill="1" applyAlignment="1">
      <alignment vertical="center"/>
    </xf>
    <xf numFmtId="0" fontId="22" fillId="4" borderId="0" xfId="4" applyFont="1" applyFill="1" applyAlignment="1">
      <alignment horizontal="center" vertical="center"/>
    </xf>
    <xf numFmtId="0" fontId="22" fillId="4" borderId="0" xfId="4" applyFont="1" applyFill="1" applyAlignment="1">
      <alignment horizontal="left" vertical="center"/>
    </xf>
    <xf numFmtId="0" fontId="22" fillId="5" borderId="0" xfId="4" applyFont="1" applyFill="1" applyAlignment="1">
      <alignment vertical="center"/>
    </xf>
    <xf numFmtId="0" fontId="22" fillId="5" borderId="0" xfId="4" applyFont="1" applyFill="1" applyAlignment="1">
      <alignment horizontal="right" vertical="center"/>
    </xf>
    <xf numFmtId="0" fontId="20" fillId="0" borderId="0" xfId="4" applyFont="1" applyAlignment="1">
      <alignment horizontal="center" vertical="center"/>
    </xf>
    <xf numFmtId="0" fontId="20" fillId="0" borderId="0" xfId="4" applyFont="1" applyAlignment="1">
      <alignment horizontal="left" vertical="center"/>
    </xf>
    <xf numFmtId="49" fontId="12" fillId="0" borderId="1" xfId="0" applyNumberFormat="1" applyFont="1" applyBorder="1" applyAlignment="1">
      <alignment horizontal="centerContinuous" vertical="center"/>
    </xf>
    <xf numFmtId="0" fontId="12" fillId="0" borderId="0" xfId="0" applyFont="1" applyAlignment="1">
      <alignment horizontal="centerContinuous" vertical="center"/>
    </xf>
    <xf numFmtId="0" fontId="1" fillId="0" borderId="2" xfId="0" applyFont="1" applyBorder="1" applyAlignment="1">
      <alignment horizontal="centerContinuous" vertical="center"/>
    </xf>
    <xf numFmtId="20" fontId="2"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14" fillId="0" borderId="5" xfId="0" applyFont="1" applyFill="1" applyBorder="1" applyAlignment="1">
      <alignment horizontal="center" vertical="center"/>
    </xf>
    <xf numFmtId="20" fontId="22" fillId="4" borderId="0" xfId="4" applyNumberFormat="1" applyFont="1" applyFill="1" applyAlignment="1">
      <alignment horizontal="left" vertical="center"/>
    </xf>
    <xf numFmtId="20" fontId="20" fillId="0" borderId="0" xfId="4" applyNumberFormat="1" applyFont="1" applyAlignment="1">
      <alignment horizontal="left" vertical="center"/>
    </xf>
    <xf numFmtId="20" fontId="21" fillId="3" borderId="0" xfId="4" applyNumberFormat="1" applyFont="1" applyFill="1" applyAlignment="1">
      <alignment horizontal="left" vertical="center"/>
    </xf>
    <xf numFmtId="0" fontId="20" fillId="0" borderId="0" xfId="4" applyFont="1" applyFill="1" applyBorder="1" applyAlignment="1">
      <alignment horizontal="left"/>
    </xf>
    <xf numFmtId="0" fontId="5" fillId="0" borderId="6" xfId="0" applyFont="1" applyBorder="1" applyAlignment="1">
      <alignment vertical="center"/>
    </xf>
    <xf numFmtId="0" fontId="5" fillId="0" borderId="6" xfId="0" applyFont="1" applyBorder="1" applyAlignment="1">
      <alignment horizontal="center" vertical="center"/>
    </xf>
    <xf numFmtId="0" fontId="20" fillId="6" borderId="7" xfId="4" applyFont="1" applyFill="1" applyBorder="1" applyAlignment="1">
      <alignment horizontal="left"/>
    </xf>
    <xf numFmtId="0" fontId="5" fillId="0" borderId="0" xfId="0" applyFont="1" applyBorder="1" applyAlignment="1">
      <alignment vertical="center"/>
    </xf>
    <xf numFmtId="0" fontId="5" fillId="0" borderId="0" xfId="0" applyFont="1" applyBorder="1" applyAlignment="1">
      <alignment horizontal="center" vertical="center"/>
    </xf>
    <xf numFmtId="0" fontId="20" fillId="6" borderId="8" xfId="4" applyFont="1" applyFill="1" applyBorder="1" applyAlignment="1">
      <alignment horizontal="left"/>
    </xf>
    <xf numFmtId="0" fontId="5" fillId="0" borderId="9" xfId="0" applyFont="1" applyBorder="1" applyAlignment="1">
      <alignment vertical="center"/>
    </xf>
    <xf numFmtId="0" fontId="5" fillId="0" borderId="9" xfId="0" applyFont="1" applyBorder="1" applyAlignment="1">
      <alignment horizontal="center" vertical="center"/>
    </xf>
    <xf numFmtId="0" fontId="20" fillId="6" borderId="10" xfId="4" applyFont="1" applyFill="1" applyBorder="1" applyAlignment="1">
      <alignment horizontal="left"/>
    </xf>
    <xf numFmtId="0" fontId="20" fillId="7" borderId="7" xfId="4" applyFont="1" applyFill="1" applyBorder="1" applyAlignment="1">
      <alignment horizontal="left"/>
    </xf>
    <xf numFmtId="0" fontId="20" fillId="7" borderId="8" xfId="4" applyFont="1" applyFill="1" applyBorder="1" applyAlignment="1">
      <alignment horizontal="left"/>
    </xf>
    <xf numFmtId="0" fontId="20" fillId="7" borderId="10" xfId="4" applyFont="1" applyFill="1" applyBorder="1" applyAlignment="1">
      <alignment horizontal="left"/>
    </xf>
    <xf numFmtId="0" fontId="5" fillId="0" borderId="3" xfId="0" applyFont="1" applyBorder="1" applyAlignment="1">
      <alignment horizontal="center" vertical="center"/>
    </xf>
    <xf numFmtId="0" fontId="17" fillId="0" borderId="11" xfId="4" applyFill="1" applyBorder="1" applyAlignment="1">
      <alignment vertical="center"/>
    </xf>
    <xf numFmtId="0" fontId="19" fillId="0" borderId="12" xfId="4" applyFont="1" applyFill="1" applyBorder="1" applyAlignment="1">
      <alignment vertical="center"/>
    </xf>
    <xf numFmtId="0" fontId="17" fillId="0" borderId="0" xfId="4" applyFill="1" applyBorder="1" applyAlignment="1">
      <alignment vertical="center"/>
    </xf>
    <xf numFmtId="0" fontId="17" fillId="0" borderId="13" xfId="4" applyFill="1" applyBorder="1" applyAlignment="1">
      <alignment vertical="center"/>
    </xf>
    <xf numFmtId="0" fontId="26" fillId="0" borderId="0" xfId="4" applyFont="1" applyFill="1" applyBorder="1" applyAlignment="1">
      <alignment vertical="center"/>
    </xf>
    <xf numFmtId="0" fontId="25" fillId="0" borderId="14" xfId="4" applyFont="1" applyFill="1" applyBorder="1" applyAlignment="1">
      <alignment horizontal="center" vertical="center"/>
    </xf>
    <xf numFmtId="20" fontId="25" fillId="0" borderId="15" xfId="4" applyNumberFormat="1" applyFont="1" applyFill="1" applyBorder="1" applyAlignment="1">
      <alignment horizontal="center" vertical="center"/>
    </xf>
    <xf numFmtId="49" fontId="25" fillId="0" borderId="14" xfId="4" applyNumberFormat="1" applyFont="1" applyFill="1" applyBorder="1" applyAlignment="1">
      <alignment horizontal="center" vertical="center"/>
    </xf>
    <xf numFmtId="0" fontId="28" fillId="0" borderId="16" xfId="4" applyFont="1" applyFill="1" applyBorder="1" applyAlignment="1">
      <alignment horizontal="centerContinuous" vertical="center"/>
    </xf>
    <xf numFmtId="0" fontId="29" fillId="0" borderId="0" xfId="4" applyFont="1" applyFill="1" applyBorder="1" applyAlignment="1">
      <alignment horizontal="center" vertical="center"/>
    </xf>
    <xf numFmtId="0" fontId="25" fillId="0" borderId="15" xfId="4" applyFont="1" applyFill="1" applyBorder="1" applyAlignment="1">
      <alignment horizontal="center" vertical="center"/>
    </xf>
    <xf numFmtId="0" fontId="27" fillId="0" borderId="0" xfId="4" applyFont="1" applyFill="1" applyBorder="1" applyAlignment="1">
      <alignment vertical="center"/>
    </xf>
    <xf numFmtId="0" fontId="26" fillId="0" borderId="0" xfId="4" applyFont="1" applyFill="1" applyBorder="1" applyAlignment="1">
      <alignment horizontal="center" vertical="center"/>
    </xf>
    <xf numFmtId="0" fontId="2" fillId="0" borderId="2" xfId="4" applyFont="1" applyBorder="1" applyAlignment="1">
      <alignment horizontal="center" vertical="center"/>
    </xf>
    <xf numFmtId="20" fontId="2" fillId="0" borderId="2" xfId="4" applyNumberFormat="1" applyFont="1" applyBorder="1" applyAlignment="1">
      <alignment horizontal="center" vertical="center"/>
    </xf>
    <xf numFmtId="20" fontId="4" fillId="0" borderId="2" xfId="4" applyNumberFormat="1" applyFont="1" applyBorder="1" applyAlignment="1">
      <alignment horizontal="center" vertical="center"/>
    </xf>
    <xf numFmtId="0" fontId="4" fillId="0" borderId="2" xfId="4" applyFont="1" applyBorder="1" applyAlignment="1">
      <alignment horizontal="center" vertical="center"/>
    </xf>
    <xf numFmtId="0" fontId="30" fillId="0" borderId="0" xfId="0" applyFont="1"/>
    <xf numFmtId="20" fontId="30" fillId="0" borderId="0" xfId="0" applyNumberFormat="1" applyFont="1"/>
    <xf numFmtId="0" fontId="31" fillId="0" borderId="0" xfId="0" applyFont="1"/>
    <xf numFmtId="0" fontId="30" fillId="0" borderId="0" xfId="0" applyNumberFormat="1" applyFont="1"/>
    <xf numFmtId="20" fontId="31" fillId="0" borderId="0" xfId="0" applyNumberFormat="1" applyFont="1"/>
    <xf numFmtId="0" fontId="7" fillId="0" borderId="0" xfId="0" applyFont="1" applyAlignment="1">
      <alignment horizontal="centerContinuous" vertical="center"/>
    </xf>
    <xf numFmtId="0" fontId="3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33" fillId="0" borderId="0" xfId="0" applyFont="1" applyFill="1" applyBorder="1" applyAlignment="1">
      <alignment vertical="center"/>
    </xf>
    <xf numFmtId="0" fontId="34" fillId="0" borderId="0" xfId="0" applyFont="1" applyFill="1" applyBorder="1" applyAlignment="1">
      <alignment horizontal="left" vertical="center"/>
    </xf>
    <xf numFmtId="0" fontId="20" fillId="0" borderId="17" xfId="0" applyFont="1" applyFill="1" applyBorder="1" applyAlignment="1">
      <alignment horizontal="left" vertical="center"/>
    </xf>
    <xf numFmtId="0" fontId="33" fillId="0" borderId="18" xfId="0" applyFont="1" applyFill="1" applyBorder="1" applyAlignment="1">
      <alignment horizontal="center" vertical="center"/>
    </xf>
    <xf numFmtId="0" fontId="20" fillId="0" borderId="18" xfId="0" applyFont="1" applyFill="1" applyBorder="1" applyAlignment="1">
      <alignment horizontal="left" vertical="center"/>
    </xf>
    <xf numFmtId="0" fontId="33" fillId="0" borderId="19" xfId="0" applyFont="1" applyFill="1" applyBorder="1" applyAlignment="1">
      <alignment horizontal="center" vertical="center"/>
    </xf>
    <xf numFmtId="0" fontId="33" fillId="0" borderId="3" xfId="0" applyFont="1" applyFill="1" applyBorder="1" applyAlignment="1">
      <alignment vertical="center"/>
    </xf>
    <xf numFmtId="0" fontId="33" fillId="0" borderId="12" xfId="0" applyFont="1" applyFill="1" applyBorder="1" applyAlignment="1">
      <alignment horizontal="center" vertical="center"/>
    </xf>
    <xf numFmtId="0" fontId="20" fillId="0" borderId="20" xfId="0" applyFont="1" applyFill="1" applyBorder="1" applyAlignment="1">
      <alignment horizontal="left" vertical="center"/>
    </xf>
    <xf numFmtId="0" fontId="21" fillId="0" borderId="3" xfId="0" applyFont="1" applyFill="1" applyBorder="1" applyAlignment="1">
      <alignment horizontal="left" vertical="center"/>
    </xf>
    <xf numFmtId="0" fontId="35" fillId="0" borderId="18"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21" xfId="0" applyFont="1" applyFill="1" applyBorder="1" applyAlignment="1">
      <alignment horizontal="center" vertical="center"/>
    </xf>
    <xf numFmtId="20" fontId="35" fillId="0" borderId="11" xfId="0" applyNumberFormat="1" applyFont="1" applyFill="1" applyBorder="1" applyAlignment="1">
      <alignment horizontal="center" vertical="center"/>
    </xf>
    <xf numFmtId="20" fontId="35" fillId="0" borderId="0" xfId="0" applyNumberFormat="1" applyFont="1" applyFill="1" applyBorder="1" applyAlignment="1">
      <alignment horizontal="center" vertical="center"/>
    </xf>
    <xf numFmtId="0" fontId="35" fillId="0" borderId="0" xfId="0" applyFont="1" applyFill="1" applyBorder="1" applyAlignment="1">
      <alignment vertical="center"/>
    </xf>
    <xf numFmtId="49" fontId="35" fillId="0" borderId="3" xfId="0" applyNumberFormat="1" applyFont="1" applyFill="1" applyBorder="1" applyAlignment="1">
      <alignment horizontal="center" vertical="center"/>
    </xf>
    <xf numFmtId="0" fontId="35" fillId="0" borderId="3" xfId="0" applyNumberFormat="1" applyFont="1" applyFill="1" applyBorder="1" applyAlignment="1">
      <alignment horizontal="center" vertical="center"/>
    </xf>
    <xf numFmtId="0" fontId="36" fillId="0" borderId="3" xfId="0" applyNumberFormat="1" applyFont="1" applyFill="1" applyBorder="1" applyAlignment="1">
      <alignment horizontal="left" vertical="center"/>
    </xf>
    <xf numFmtId="0" fontId="35" fillId="0" borderId="18" xfId="0" applyNumberFormat="1" applyFont="1" applyFill="1" applyBorder="1" applyAlignment="1">
      <alignment horizontal="center" vertical="center"/>
    </xf>
    <xf numFmtId="0" fontId="35" fillId="0" borderId="0" xfId="0" applyNumberFormat="1" applyFont="1" applyFill="1" applyBorder="1" applyAlignment="1">
      <alignment horizontal="center" vertical="center"/>
    </xf>
    <xf numFmtId="0" fontId="38" fillId="0" borderId="0" xfId="0" applyFont="1" applyAlignment="1">
      <alignment horizontal="center" vertical="center"/>
    </xf>
    <xf numFmtId="0" fontId="37" fillId="0" borderId="12" xfId="0" applyFont="1" applyFill="1" applyBorder="1" applyAlignment="1">
      <alignment horizontal="center" vertical="center"/>
    </xf>
    <xf numFmtId="0" fontId="24" fillId="0" borderId="22" xfId="0" applyFont="1" applyFill="1" applyBorder="1" applyAlignment="1">
      <alignment horizontal="centerContinuous" vertical="center"/>
    </xf>
    <xf numFmtId="0" fontId="24" fillId="0" borderId="6" xfId="0" applyFont="1" applyFill="1" applyBorder="1" applyAlignment="1">
      <alignment horizontal="centerContinuous" vertical="center"/>
    </xf>
    <xf numFmtId="0" fontId="24" fillId="0" borderId="7" xfId="0" applyFont="1" applyFill="1" applyBorder="1" applyAlignment="1">
      <alignment horizontal="centerContinuous" vertical="center"/>
    </xf>
    <xf numFmtId="20" fontId="14" fillId="0" borderId="23" xfId="0" applyNumberFormat="1" applyFont="1" applyFill="1" applyBorder="1" applyAlignment="1">
      <alignment horizontal="centerContinuous" vertical="center"/>
    </xf>
    <xf numFmtId="0" fontId="14" fillId="0" borderId="0" xfId="0" applyFont="1" applyFill="1" applyBorder="1" applyAlignment="1">
      <alignment horizontal="centerContinuous" vertical="center"/>
    </xf>
    <xf numFmtId="0" fontId="14" fillId="0" borderId="8" xfId="0" applyFont="1" applyFill="1" applyBorder="1" applyAlignment="1">
      <alignment horizontal="centerContinuous" vertical="center"/>
    </xf>
    <xf numFmtId="0" fontId="24" fillId="0" borderId="23"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8" xfId="0" applyFont="1" applyFill="1" applyBorder="1" applyAlignment="1">
      <alignment horizontal="centerContinuous" vertical="center"/>
    </xf>
    <xf numFmtId="0" fontId="14" fillId="0" borderId="23" xfId="0" applyNumberFormat="1" applyFont="1" applyFill="1" applyBorder="1" applyAlignment="1">
      <alignment horizontal="centerContinuous" vertical="center"/>
    </xf>
    <xf numFmtId="20" fontId="14" fillId="0" borderId="24" xfId="0" applyNumberFormat="1" applyFont="1" applyFill="1" applyBorder="1" applyAlignment="1">
      <alignment horizontal="centerContinuous" vertical="center"/>
    </xf>
    <xf numFmtId="0" fontId="14" fillId="0" borderId="9" xfId="0" applyFont="1" applyFill="1" applyBorder="1" applyAlignment="1">
      <alignment horizontal="centerContinuous" vertical="center"/>
    </xf>
    <xf numFmtId="0" fontId="14" fillId="0" borderId="10" xfId="0" applyFont="1" applyFill="1" applyBorder="1" applyAlignment="1">
      <alignment horizontal="centerContinuous" vertical="center"/>
    </xf>
    <xf numFmtId="0" fontId="22" fillId="5" borderId="0" xfId="4" applyFont="1" applyFill="1" applyAlignment="1">
      <alignment horizontal="center" vertical="center"/>
    </xf>
    <xf numFmtId="0" fontId="17" fillId="0" borderId="0" xfId="4" applyAlignment="1">
      <alignment horizontal="center"/>
    </xf>
    <xf numFmtId="0" fontId="39" fillId="0" borderId="0" xfId="6" applyFont="1" applyFill="1" applyBorder="1" applyAlignment="1">
      <alignment vertical="center"/>
    </xf>
    <xf numFmtId="0" fontId="33" fillId="0" borderId="0" xfId="5" applyFont="1" applyFill="1" applyBorder="1"/>
    <xf numFmtId="0" fontId="33" fillId="0" borderId="0" xfId="5" applyFont="1" applyFill="1" applyBorder="1" applyAlignment="1">
      <alignment horizontal="right"/>
    </xf>
    <xf numFmtId="0" fontId="0" fillId="0" borderId="0" xfId="0" applyFill="1" applyBorder="1" applyAlignment="1">
      <alignment horizontal="right"/>
    </xf>
    <xf numFmtId="0" fontId="1" fillId="0" borderId="0" xfId="0" applyFont="1" applyAlignment="1">
      <alignment horizontal="centerContinuous" vertical="center"/>
    </xf>
    <xf numFmtId="0" fontId="2" fillId="0" borderId="0" xfId="0" applyFont="1" applyBorder="1" applyAlignment="1">
      <alignment horizontal="centerContinuous" vertical="center"/>
    </xf>
    <xf numFmtId="0" fontId="1" fillId="0" borderId="5" xfId="0" applyFont="1" applyBorder="1" applyAlignment="1">
      <alignment horizontal="left" vertical="center"/>
    </xf>
    <xf numFmtId="0" fontId="14" fillId="0" borderId="0" xfId="0" applyFont="1" applyBorder="1" applyAlignment="1">
      <alignment horizontal="left" vertical="center"/>
    </xf>
    <xf numFmtId="0" fontId="5" fillId="0" borderId="0" xfId="4" applyFont="1" applyFill="1" applyBorder="1" applyAlignment="1">
      <alignment horizontal="left"/>
    </xf>
    <xf numFmtId="0" fontId="41" fillId="0" borderId="0" xfId="0" applyFont="1" applyAlignment="1">
      <alignment horizontal="centerContinuous" vertical="center"/>
    </xf>
    <xf numFmtId="0" fontId="15" fillId="0" borderId="0" xfId="0" applyFont="1" applyAlignment="1">
      <alignment vertical="center"/>
    </xf>
    <xf numFmtId="0" fontId="2" fillId="0" borderId="25" xfId="0" applyFont="1" applyBorder="1" applyAlignment="1">
      <alignment vertical="center"/>
    </xf>
    <xf numFmtId="0" fontId="15" fillId="0" borderId="0" xfId="0" applyFont="1" applyAlignment="1">
      <alignment horizontal="centerContinuous" vertical="center"/>
    </xf>
    <xf numFmtId="0" fontId="44" fillId="8" borderId="0" xfId="4" applyFont="1" applyFill="1" applyBorder="1" applyAlignment="1">
      <alignment horizontal="center"/>
    </xf>
    <xf numFmtId="20" fontId="14" fillId="0" borderId="0" xfId="0" applyNumberFormat="1" applyFont="1" applyFill="1" applyBorder="1" applyAlignment="1">
      <alignment horizontal="centerContinuous" vertical="center"/>
    </xf>
    <xf numFmtId="0" fontId="1" fillId="0" borderId="26" xfId="0" applyFont="1" applyBorder="1" applyAlignment="1">
      <alignment vertical="center"/>
    </xf>
    <xf numFmtId="0" fontId="46" fillId="0" borderId="12" xfId="0" applyFont="1" applyFill="1" applyBorder="1" applyAlignment="1">
      <alignment horizontal="center" vertical="center"/>
    </xf>
    <xf numFmtId="0" fontId="21" fillId="0" borderId="0" xfId="4" applyFont="1" applyFill="1" applyBorder="1" applyAlignment="1">
      <alignment horizontal="centerContinuous" vertical="center"/>
    </xf>
    <xf numFmtId="0" fontId="20" fillId="0" borderId="0" xfId="4" applyFont="1" applyFill="1" applyBorder="1" applyAlignment="1">
      <alignment vertical="center"/>
    </xf>
    <xf numFmtId="0" fontId="47" fillId="0" borderId="0" xfId="4" applyFont="1" applyFill="1" applyBorder="1" applyAlignment="1">
      <alignment vertical="center"/>
    </xf>
    <xf numFmtId="0" fontId="21" fillId="0" borderId="0" xfId="4" applyFont="1" applyFill="1" applyBorder="1" applyAlignment="1">
      <alignment horizontal="left" vertical="center"/>
    </xf>
    <xf numFmtId="0" fontId="48" fillId="0" borderId="0" xfId="4" applyFont="1" applyFill="1" applyBorder="1" applyAlignment="1">
      <alignment horizontal="right" vertical="center"/>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0" fontId="49" fillId="0" borderId="16" xfId="4" applyFont="1" applyFill="1" applyBorder="1" applyAlignment="1">
      <alignment horizontal="centerContinuous" vertical="center"/>
    </xf>
    <xf numFmtId="0" fontId="23" fillId="0" borderId="0" xfId="4" applyFont="1" applyFill="1" applyBorder="1" applyAlignment="1">
      <alignment horizontal="center" vertical="center"/>
    </xf>
    <xf numFmtId="0" fontId="33" fillId="0" borderId="0" xfId="4" applyFont="1" applyFill="1" applyBorder="1" applyAlignment="1">
      <alignment vertical="center"/>
    </xf>
    <xf numFmtId="0" fontId="34" fillId="0" borderId="0" xfId="4" applyFont="1" applyFill="1" applyBorder="1" applyAlignment="1">
      <alignment horizontal="center" vertical="center"/>
    </xf>
    <xf numFmtId="0" fontId="34" fillId="0" borderId="0" xfId="4" applyFont="1" applyFill="1" applyBorder="1" applyAlignment="1">
      <alignment vertical="center"/>
    </xf>
    <xf numFmtId="0" fontId="33" fillId="0" borderId="14" xfId="4" applyFont="1" applyFill="1" applyBorder="1" applyAlignment="1">
      <alignment horizontal="center" vertical="center"/>
    </xf>
    <xf numFmtId="0" fontId="33" fillId="0" borderId="11" xfId="4" applyFont="1" applyFill="1" applyBorder="1" applyAlignment="1">
      <alignment vertical="center"/>
    </xf>
    <xf numFmtId="0" fontId="50" fillId="0" borderId="4" xfId="4" applyFont="1" applyFill="1" applyBorder="1" applyAlignment="1">
      <alignment vertical="center"/>
    </xf>
    <xf numFmtId="0" fontId="33" fillId="3" borderId="5" xfId="4" applyFont="1" applyFill="1" applyBorder="1" applyAlignment="1">
      <alignment vertical="center"/>
    </xf>
    <xf numFmtId="16" fontId="33" fillId="0" borderId="27" xfId="4" applyNumberFormat="1" applyFont="1" applyFill="1" applyBorder="1" applyAlignment="1">
      <alignment horizontal="center" vertical="center"/>
    </xf>
    <xf numFmtId="0" fontId="33" fillId="0" borderId="27" xfId="4" applyFont="1" applyFill="1" applyBorder="1" applyAlignment="1">
      <alignment horizontal="center" vertical="center"/>
    </xf>
    <xf numFmtId="0" fontId="33" fillId="0" borderId="15" xfId="4" applyFont="1" applyFill="1" applyBorder="1" applyAlignment="1">
      <alignment horizontal="center" vertical="center"/>
    </xf>
    <xf numFmtId="0" fontId="33" fillId="0" borderId="13" xfId="4" applyFont="1" applyFill="1" applyBorder="1" applyAlignment="1">
      <alignment vertical="center"/>
    </xf>
    <xf numFmtId="0" fontId="33" fillId="0" borderId="0" xfId="4" applyFont="1" applyFill="1" applyBorder="1" applyAlignment="1">
      <alignment horizontal="center" vertical="center"/>
    </xf>
    <xf numFmtId="20" fontId="21" fillId="3" borderId="0" xfId="4" applyNumberFormat="1" applyFont="1" applyFill="1" applyAlignment="1">
      <alignment vertical="center"/>
    </xf>
    <xf numFmtId="0" fontId="21" fillId="3" borderId="0" xfId="4" applyFont="1" applyFill="1" applyAlignment="1">
      <alignment horizontal="centerContinuous" vertical="center"/>
    </xf>
    <xf numFmtId="0" fontId="22" fillId="5" borderId="0" xfId="4" applyFont="1" applyFill="1" applyAlignment="1">
      <alignment horizontal="centerContinuous" vertical="center"/>
    </xf>
    <xf numFmtId="0" fontId="20" fillId="0" borderId="0" xfId="4" applyFont="1" applyAlignment="1">
      <alignment horizontal="centerContinuous" vertical="center"/>
    </xf>
    <xf numFmtId="20" fontId="21" fillId="3" borderId="0" xfId="4" applyNumberFormat="1" applyFont="1" applyFill="1" applyAlignment="1">
      <alignment horizontal="centerContinuous"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 fillId="0" borderId="0" xfId="0" applyNumberFormat="1" applyFont="1" applyBorder="1" applyAlignment="1">
      <alignment vertical="center"/>
    </xf>
    <xf numFmtId="0" fontId="2" fillId="0" borderId="0" xfId="0" applyNumberFormat="1" applyFont="1" applyBorder="1" applyAlignment="1">
      <alignment horizontal="left" vertical="center"/>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xf>
    <xf numFmtId="0" fontId="42" fillId="0" borderId="0" xfId="0" applyNumberFormat="1" applyFont="1" applyBorder="1" applyAlignment="1">
      <alignment horizontal="center" vertical="center"/>
    </xf>
    <xf numFmtId="0" fontId="15" fillId="0" borderId="0" xfId="0" applyNumberFormat="1" applyFont="1" applyBorder="1" applyAlignment="1">
      <alignment vertical="center"/>
    </xf>
    <xf numFmtId="0" fontId="15" fillId="0" borderId="0" xfId="0" applyNumberFormat="1" applyFont="1" applyBorder="1" applyAlignment="1">
      <alignment horizontal="left" vertical="center"/>
    </xf>
    <xf numFmtId="20" fontId="15" fillId="0" borderId="0" xfId="0" applyNumberFormat="1" applyFont="1" applyBorder="1" applyAlignment="1">
      <alignment horizontal="left" vertical="center"/>
    </xf>
    <xf numFmtId="49" fontId="15" fillId="0" borderId="0" xfId="0" applyNumberFormat="1" applyFont="1" applyBorder="1" applyAlignment="1">
      <alignment horizontal="left" vertical="center"/>
    </xf>
    <xf numFmtId="0" fontId="16" fillId="0" borderId="0" xfId="0" applyNumberFormat="1" applyFont="1" applyBorder="1" applyAlignment="1">
      <alignment horizontal="left" vertical="center"/>
    </xf>
    <xf numFmtId="0" fontId="41" fillId="0" borderId="0" xfId="0" applyNumberFormat="1" applyFont="1" applyBorder="1" applyAlignment="1">
      <alignment horizontal="left" vertical="center"/>
    </xf>
    <xf numFmtId="0" fontId="15" fillId="0" borderId="0" xfId="0" applyNumberFormat="1" applyFont="1" applyBorder="1" applyAlignment="1">
      <alignment horizontal="center" vertical="center"/>
    </xf>
    <xf numFmtId="0" fontId="15" fillId="0" borderId="0" xfId="0" applyNumberFormat="1" applyFont="1" applyFill="1" applyBorder="1" applyAlignment="1">
      <alignment horizontal="left" vertical="center"/>
    </xf>
    <xf numFmtId="0" fontId="15" fillId="0" borderId="0" xfId="0" applyNumberFormat="1" applyFont="1" applyFill="1" applyBorder="1" applyAlignment="1">
      <alignment horizontal="center" vertical="center"/>
    </xf>
    <xf numFmtId="0" fontId="15" fillId="0" borderId="0" xfId="0" applyNumberFormat="1" applyFont="1" applyFill="1" applyBorder="1" applyAlignment="1">
      <alignment vertical="center"/>
    </xf>
    <xf numFmtId="0" fontId="41" fillId="0" borderId="0" xfId="0" applyNumberFormat="1" applyFont="1" applyBorder="1" applyAlignment="1">
      <alignment horizontal="center" vertical="center"/>
    </xf>
    <xf numFmtId="0" fontId="43" fillId="0" borderId="0" xfId="0" applyNumberFormat="1" applyFont="1" applyFill="1" applyBorder="1" applyAlignment="1">
      <alignment horizontal="left" vertical="center"/>
    </xf>
    <xf numFmtId="0" fontId="42" fillId="0" borderId="0" xfId="0" applyNumberFormat="1" applyFont="1" applyFill="1" applyBorder="1" applyAlignment="1">
      <alignment horizontal="centerContinuous" vertical="center"/>
    </xf>
    <xf numFmtId="0" fontId="43" fillId="0" borderId="0" xfId="0" applyNumberFormat="1" applyFont="1" applyFill="1" applyBorder="1" applyAlignment="1">
      <alignment horizontal="center" vertical="center"/>
    </xf>
    <xf numFmtId="0" fontId="42" fillId="0" borderId="0" xfId="0" applyNumberFormat="1" applyFont="1" applyBorder="1" applyAlignment="1">
      <alignment horizontal="centerContinuous" vertical="center"/>
    </xf>
    <xf numFmtId="0" fontId="17" fillId="0" borderId="0" xfId="4" applyFill="1" applyBorder="1" applyAlignment="1">
      <alignment horizontal="centerContinuous" vertical="center"/>
    </xf>
    <xf numFmtId="0" fontId="28" fillId="0" borderId="0" xfId="4" applyFont="1" applyFill="1" applyBorder="1" applyAlignment="1">
      <alignment horizontal="centerContinuous" vertical="center"/>
    </xf>
    <xf numFmtId="0" fontId="51" fillId="0" borderId="0" xfId="4" applyFont="1" applyFill="1" applyBorder="1" applyAlignment="1">
      <alignment horizontal="centerContinuous" vertical="center"/>
    </xf>
    <xf numFmtId="0" fontId="51" fillId="3" borderId="5" xfId="4" applyFont="1" applyFill="1" applyBorder="1" applyAlignment="1">
      <alignment horizontal="center" vertical="center"/>
    </xf>
    <xf numFmtId="0" fontId="51" fillId="0" borderId="0" xfId="4" applyFont="1" applyFill="1" applyBorder="1" applyAlignment="1">
      <alignment vertical="center"/>
    </xf>
    <xf numFmtId="0" fontId="33" fillId="0" borderId="0" xfId="4" applyFont="1" applyFill="1" applyBorder="1" applyAlignment="1">
      <alignment horizontal="centerContinuous" vertical="center"/>
    </xf>
    <xf numFmtId="16" fontId="33" fillId="0" borderId="0" xfId="4" applyNumberFormat="1" applyFont="1" applyFill="1" applyBorder="1" applyAlignment="1">
      <alignment horizontal="center" vertical="center"/>
    </xf>
    <xf numFmtId="20" fontId="34" fillId="0" borderId="0" xfId="4" applyNumberFormat="1" applyFont="1" applyFill="1" applyBorder="1" applyAlignment="1">
      <alignment horizontal="center" vertical="center"/>
    </xf>
    <xf numFmtId="49" fontId="34" fillId="0" borderId="0" xfId="4" applyNumberFormat="1" applyFont="1" applyFill="1" applyBorder="1" applyAlignment="1">
      <alignment horizontal="center" vertical="center"/>
    </xf>
    <xf numFmtId="0" fontId="52" fillId="0" borderId="0" xfId="4" applyFont="1" applyFill="1" applyBorder="1" applyAlignment="1">
      <alignment horizontal="center" vertical="center"/>
    </xf>
    <xf numFmtId="0" fontId="52" fillId="0" borderId="0" xfId="4" applyFont="1" applyFill="1" applyBorder="1" applyAlignment="1">
      <alignment vertical="center"/>
    </xf>
    <xf numFmtId="0" fontId="5" fillId="0" borderId="0" xfId="4" applyFont="1" applyFill="1" applyBorder="1" applyAlignment="1"/>
    <xf numFmtId="0" fontId="3" fillId="0" borderId="0" xfId="0" applyFont="1" applyFill="1" applyAlignment="1">
      <alignment horizontal="center" vertical="center"/>
    </xf>
    <xf numFmtId="20" fontId="1"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53" fillId="0" borderId="0" xfId="4" applyFont="1" applyBorder="1" applyAlignment="1">
      <alignment horizontal="center"/>
    </xf>
    <xf numFmtId="0" fontId="20" fillId="7" borderId="28" xfId="4" applyFont="1" applyFill="1" applyBorder="1" applyAlignment="1">
      <alignment horizontal="left"/>
    </xf>
    <xf numFmtId="0" fontId="20" fillId="0" borderId="0" xfId="4" applyFont="1" applyBorder="1" applyAlignment="1">
      <alignment horizontal="left"/>
    </xf>
    <xf numFmtId="0" fontId="20" fillId="7" borderId="1" xfId="4" applyFont="1" applyFill="1" applyBorder="1" applyAlignment="1">
      <alignment horizontal="left"/>
    </xf>
    <xf numFmtId="0" fontId="20" fillId="0" borderId="0" xfId="4" applyFont="1" applyBorder="1" applyAlignment="1">
      <alignment horizontal="left" vertical="center"/>
    </xf>
    <xf numFmtId="0" fontId="20" fillId="7" borderId="28" xfId="4" applyFont="1" applyFill="1" applyBorder="1" applyAlignment="1">
      <alignment horizontal="center" vertical="center"/>
    </xf>
    <xf numFmtId="0" fontId="20" fillId="0" borderId="0" xfId="4" applyFont="1" applyBorder="1" applyAlignment="1">
      <alignment vertical="center"/>
    </xf>
    <xf numFmtId="0" fontId="47" fillId="0" borderId="1" xfId="4" applyFont="1" applyBorder="1" applyAlignment="1">
      <alignment horizontal="centerContinuous" vertical="center"/>
    </xf>
    <xf numFmtId="0" fontId="47" fillId="0" borderId="1" xfId="4" applyFont="1" applyBorder="1" applyAlignment="1">
      <alignment horizontal="left" vertical="center"/>
    </xf>
    <xf numFmtId="0" fontId="20" fillId="7" borderId="2" xfId="4" applyFont="1" applyFill="1" applyBorder="1" applyAlignment="1">
      <alignment horizontal="left"/>
    </xf>
    <xf numFmtId="0" fontId="20" fillId="7" borderId="32" xfId="4" applyFont="1" applyFill="1" applyBorder="1" applyAlignment="1">
      <alignment horizontal="left"/>
    </xf>
    <xf numFmtId="0" fontId="17" fillId="0" borderId="0" xfId="4" applyAlignment="1">
      <alignment horizontal="center" vertical="center"/>
    </xf>
    <xf numFmtId="0" fontId="0" fillId="0" borderId="0" xfId="0" applyFill="1" applyBorder="1" applyAlignment="1">
      <alignment horizontal="left" indent="1"/>
    </xf>
    <xf numFmtId="0" fontId="33" fillId="0" borderId="0" xfId="5" applyFont="1" applyFill="1" applyBorder="1" applyAlignment="1">
      <alignment horizontal="left" indent="1"/>
    </xf>
    <xf numFmtId="0" fontId="39" fillId="0" borderId="0" xfId="6" applyFont="1" applyFill="1" applyBorder="1" applyAlignment="1">
      <alignment horizontal="left" vertical="center" indent="1"/>
    </xf>
    <xf numFmtId="165" fontId="33" fillId="0" borderId="0" xfId="5" applyNumberFormat="1" applyFont="1" applyFill="1" applyBorder="1" applyAlignment="1">
      <alignment horizontal="left" indent="1"/>
    </xf>
    <xf numFmtId="0" fontId="17" fillId="0" borderId="3" xfId="0" applyFont="1" applyFill="1" applyBorder="1" applyAlignment="1">
      <alignment horizontal="center" vertical="center"/>
    </xf>
    <xf numFmtId="0" fontId="34" fillId="0" borderId="19" xfId="0" applyFont="1" applyFill="1" applyBorder="1" applyAlignment="1">
      <alignment horizontal="center" vertical="center"/>
    </xf>
    <xf numFmtId="0" fontId="17" fillId="0" borderId="0" xfId="0" quotePrefix="1" applyFont="1" applyFill="1" applyBorder="1" applyAlignment="1">
      <alignment vertical="center"/>
    </xf>
    <xf numFmtId="0" fontId="0" fillId="0" borderId="0" xfId="0" applyAlignment="1">
      <alignment horizontal="center"/>
    </xf>
    <xf numFmtId="0" fontId="57" fillId="0" borderId="0" xfId="0" applyFont="1"/>
    <xf numFmtId="0" fontId="60" fillId="0" borderId="33" xfId="0" applyFont="1" applyBorder="1" applyAlignment="1">
      <alignment horizontal="center" textRotation="90"/>
    </xf>
    <xf numFmtId="0" fontId="60" fillId="0" borderId="34" xfId="0" applyFont="1" applyBorder="1" applyAlignment="1">
      <alignment horizontal="center" textRotation="90"/>
    </xf>
    <xf numFmtId="0" fontId="60" fillId="0" borderId="35" xfId="0" applyFont="1" applyBorder="1" applyAlignment="1">
      <alignment horizontal="center" textRotation="90"/>
    </xf>
    <xf numFmtId="0" fontId="61" fillId="0" borderId="36" xfId="0" applyFont="1" applyBorder="1" applyAlignment="1">
      <alignment horizontal="center" vertical="center"/>
    </xf>
    <xf numFmtId="0" fontId="61" fillId="0" borderId="37" xfId="0" applyFont="1" applyBorder="1" applyAlignment="1">
      <alignment horizontal="center" vertical="center"/>
    </xf>
    <xf numFmtId="0" fontId="62" fillId="0" borderId="15" xfId="0" applyFont="1" applyBorder="1" applyAlignment="1">
      <alignment horizontal="center" vertical="center"/>
    </xf>
    <xf numFmtId="0" fontId="62" fillId="0" borderId="38" xfId="0" applyFont="1" applyBorder="1" applyAlignment="1">
      <alignment horizontal="center" vertical="center"/>
    </xf>
    <xf numFmtId="0" fontId="61" fillId="0" borderId="39" xfId="0" applyFont="1" applyBorder="1" applyAlignment="1">
      <alignment horizontal="center" vertical="center"/>
    </xf>
    <xf numFmtId="0" fontId="61" fillId="0" borderId="14" xfId="0" applyFont="1" applyBorder="1" applyAlignment="1">
      <alignment horizontal="center" vertical="center"/>
    </xf>
    <xf numFmtId="0" fontId="61" fillId="0" borderId="40" xfId="0" applyFont="1" applyBorder="1" applyAlignment="1">
      <alignment horizontal="center" vertical="center"/>
    </xf>
    <xf numFmtId="0" fontId="62" fillId="0" borderId="41" xfId="0" applyFont="1" applyBorder="1" applyAlignment="1">
      <alignment horizontal="center" vertical="center"/>
    </xf>
    <xf numFmtId="0" fontId="62" fillId="0" borderId="33" xfId="0" applyFont="1" applyBorder="1" applyAlignment="1">
      <alignment horizontal="center"/>
    </xf>
    <xf numFmtId="0" fontId="62" fillId="0" borderId="34" xfId="0" applyFont="1" applyBorder="1" applyAlignment="1">
      <alignment horizontal="center"/>
    </xf>
    <xf numFmtId="0" fontId="63" fillId="0" borderId="42" xfId="0" applyFont="1" applyBorder="1" applyAlignment="1">
      <alignment horizontal="center" textRotation="90"/>
    </xf>
    <xf numFmtId="0" fontId="63" fillId="0" borderId="36" xfId="0" applyFont="1" applyBorder="1" applyAlignment="1">
      <alignment horizontal="center" textRotation="90"/>
    </xf>
    <xf numFmtId="0" fontId="63" fillId="0" borderId="43" xfId="0" applyFont="1" applyBorder="1" applyAlignment="1">
      <alignment horizontal="center" textRotation="90"/>
    </xf>
    <xf numFmtId="0" fontId="62" fillId="0" borderId="44" xfId="0" applyFont="1" applyBorder="1" applyAlignment="1">
      <alignment horizontal="center"/>
    </xf>
    <xf numFmtId="0" fontId="62" fillId="0" borderId="27" xfId="0" applyFont="1" applyBorder="1" applyAlignment="1">
      <alignment horizontal="center"/>
    </xf>
    <xf numFmtId="0" fontId="63" fillId="0" borderId="44" xfId="0" applyFont="1" applyBorder="1" applyAlignment="1">
      <alignment horizontal="center" textRotation="90"/>
    </xf>
    <xf numFmtId="0" fontId="63" fillId="0" borderId="27" xfId="0" applyFont="1" applyBorder="1" applyAlignment="1">
      <alignment horizontal="center" textRotation="90"/>
    </xf>
    <xf numFmtId="0" fontId="63" fillId="0" borderId="23" xfId="0" applyFont="1" applyBorder="1" applyAlignment="1">
      <alignment horizontal="center" textRotation="90"/>
    </xf>
    <xf numFmtId="0" fontId="60" fillId="0" borderId="45" xfId="0" applyFont="1" applyFill="1" applyBorder="1" applyAlignment="1">
      <alignment horizontal="left" vertical="center" indent="1"/>
    </xf>
    <xf numFmtId="0" fontId="62" fillId="0" borderId="45" xfId="0" applyFont="1" applyFill="1" applyBorder="1" applyAlignment="1">
      <alignment horizontal="center"/>
    </xf>
    <xf numFmtId="0" fontId="61" fillId="0" borderId="45" xfId="0" applyFont="1" applyFill="1" applyBorder="1" applyAlignment="1">
      <alignment horizontal="center" vertical="center"/>
    </xf>
    <xf numFmtId="0" fontId="64" fillId="10" borderId="42" xfId="0" applyFont="1" applyFill="1" applyBorder="1" applyAlignment="1">
      <alignment horizontal="center" textRotation="90"/>
    </xf>
    <xf numFmtId="0" fontId="64" fillId="10" borderId="36" xfId="0" applyFont="1" applyFill="1" applyBorder="1" applyAlignment="1">
      <alignment horizontal="center" textRotation="90"/>
    </xf>
    <xf numFmtId="0" fontId="64" fillId="10" borderId="37" xfId="0" applyFont="1" applyFill="1" applyBorder="1" applyAlignment="1">
      <alignment horizontal="center" textRotation="90"/>
    </xf>
    <xf numFmtId="0" fontId="65" fillId="10" borderId="33" xfId="0" applyFont="1" applyFill="1" applyBorder="1"/>
    <xf numFmtId="0" fontId="65" fillId="10" borderId="34" xfId="0" applyFont="1" applyFill="1" applyBorder="1"/>
    <xf numFmtId="0" fontId="65" fillId="10" borderId="46" xfId="0" applyFont="1" applyFill="1" applyBorder="1"/>
    <xf numFmtId="0" fontId="66" fillId="0" borderId="0" xfId="0" applyFont="1"/>
    <xf numFmtId="0" fontId="67" fillId="0" borderId="45" xfId="0" applyFont="1" applyFill="1" applyBorder="1" applyAlignment="1">
      <alignment horizontal="center" vertical="center"/>
    </xf>
    <xf numFmtId="0" fontId="64" fillId="10" borderId="44" xfId="0" applyFont="1" applyFill="1" applyBorder="1" applyAlignment="1">
      <alignment horizontal="center" textRotation="90"/>
    </xf>
    <xf numFmtId="0" fontId="64" fillId="10" borderId="27" xfId="0" applyFont="1" applyFill="1" applyBorder="1" applyAlignment="1">
      <alignment horizontal="center" textRotation="90"/>
    </xf>
    <xf numFmtId="0" fontId="64" fillId="10" borderId="47" xfId="0" applyFont="1" applyFill="1" applyBorder="1" applyAlignment="1">
      <alignment horizontal="center" textRotation="90"/>
    </xf>
    <xf numFmtId="0" fontId="55" fillId="0" borderId="0" xfId="0" applyFont="1" applyFill="1" applyBorder="1" applyAlignment="1">
      <alignment horizontal="right"/>
    </xf>
    <xf numFmtId="0" fontId="55" fillId="0" borderId="0" xfId="0" applyFont="1" applyFill="1" applyBorder="1" applyAlignment="1">
      <alignment horizontal="left" indent="1"/>
    </xf>
    <xf numFmtId="0" fontId="34" fillId="0" borderId="0" xfId="5" applyFont="1" applyFill="1" applyBorder="1"/>
    <xf numFmtId="0" fontId="35" fillId="0" borderId="11" xfId="0" applyFont="1" applyFill="1" applyBorder="1" applyAlignment="1">
      <alignment horizontal="center" vertical="center"/>
    </xf>
    <xf numFmtId="0" fontId="17" fillId="0" borderId="0" xfId="5" applyFont="1" applyFill="1" applyBorder="1" applyAlignment="1">
      <alignment horizontal="left" indent="1"/>
    </xf>
    <xf numFmtId="0" fontId="0" fillId="0" borderId="0" xfId="0" applyFont="1" applyFill="1" applyBorder="1" applyAlignment="1">
      <alignment horizontal="right"/>
    </xf>
    <xf numFmtId="0" fontId="0" fillId="0" borderId="0" xfId="0" applyFont="1" applyFill="1" applyBorder="1" applyAlignment="1">
      <alignment horizontal="left" indent="1"/>
    </xf>
    <xf numFmtId="0" fontId="19" fillId="0" borderId="48" xfId="4" applyFont="1" applyFill="1" applyBorder="1" applyAlignment="1">
      <alignment vertical="center"/>
    </xf>
    <xf numFmtId="49" fontId="20" fillId="7" borderId="28" xfId="4" applyNumberFormat="1" applyFont="1" applyFill="1" applyBorder="1" applyAlignment="1">
      <alignment horizontal="center" vertical="center"/>
    </xf>
    <xf numFmtId="0" fontId="21" fillId="0" borderId="0" xfId="4" applyFont="1" applyBorder="1" applyAlignment="1">
      <alignment horizontal="center"/>
    </xf>
    <xf numFmtId="0" fontId="21" fillId="0" borderId="0" xfId="4" applyFont="1" applyBorder="1" applyAlignment="1">
      <alignment horizontal="left"/>
    </xf>
    <xf numFmtId="0" fontId="47" fillId="0" borderId="0" xfId="4" applyFont="1" applyBorder="1" applyAlignment="1">
      <alignment horizontal="centerContinuous" vertical="center"/>
    </xf>
    <xf numFmtId="49" fontId="20" fillId="7" borderId="1" xfId="4" applyNumberFormat="1" applyFont="1" applyFill="1" applyBorder="1" applyAlignment="1">
      <alignment horizontal="center" vertical="center"/>
    </xf>
    <xf numFmtId="0" fontId="20" fillId="7" borderId="1" xfId="4" applyFont="1" applyFill="1" applyBorder="1" applyAlignment="1">
      <alignment horizontal="center" vertical="center"/>
    </xf>
    <xf numFmtId="0" fontId="20" fillId="12" borderId="28" xfId="4" applyFont="1" applyFill="1" applyBorder="1" applyAlignment="1" applyProtection="1">
      <alignment horizontal="center" vertical="center"/>
      <protection locked="0"/>
    </xf>
    <xf numFmtId="0" fontId="20" fillId="12" borderId="1" xfId="4" applyFont="1" applyFill="1" applyBorder="1" applyAlignment="1" applyProtection="1">
      <alignment horizontal="center" vertical="center"/>
      <protection locked="0"/>
    </xf>
    <xf numFmtId="0" fontId="20" fillId="0" borderId="0" xfId="4" applyFont="1" applyBorder="1" applyAlignment="1" applyProtection="1">
      <alignment horizontal="left" vertical="center"/>
      <protection locked="0"/>
    </xf>
    <xf numFmtId="0" fontId="20" fillId="0" borderId="0" xfId="4" applyFont="1" applyBorder="1" applyAlignment="1" applyProtection="1">
      <alignment vertical="center"/>
      <protection locked="0"/>
    </xf>
    <xf numFmtId="0" fontId="54" fillId="0" borderId="29" xfId="4" applyFont="1" applyBorder="1" applyAlignment="1" applyProtection="1">
      <alignment horizontal="center"/>
      <protection locked="0"/>
    </xf>
    <xf numFmtId="0" fontId="54" fillId="0" borderId="30" xfId="4" applyFont="1" applyBorder="1" applyAlignment="1" applyProtection="1">
      <alignment horizontal="center"/>
      <protection locked="0"/>
    </xf>
    <xf numFmtId="0" fontId="54" fillId="0" borderId="0" xfId="4" applyFont="1" applyBorder="1" applyAlignment="1" applyProtection="1">
      <alignment horizontal="center"/>
      <protection locked="0"/>
    </xf>
    <xf numFmtId="0" fontId="47" fillId="0" borderId="1" xfId="4" applyFont="1" applyBorder="1" applyAlignment="1" applyProtection="1">
      <alignment horizontal="center" vertical="center"/>
      <protection locked="0"/>
    </xf>
    <xf numFmtId="0" fontId="54" fillId="0" borderId="31" xfId="4" applyFont="1" applyBorder="1" applyAlignment="1" applyProtection="1">
      <alignment horizontal="center"/>
      <protection locked="0"/>
    </xf>
    <xf numFmtId="0" fontId="54" fillId="0" borderId="0" xfId="4" applyFont="1" applyFill="1" applyBorder="1" applyAlignment="1" applyProtection="1">
      <alignment horizontal="center" vertical="center"/>
      <protection locked="0"/>
    </xf>
    <xf numFmtId="0" fontId="54" fillId="0" borderId="31" xfId="4" applyFont="1" applyBorder="1" applyAlignment="1" applyProtection="1">
      <protection locked="0"/>
    </xf>
    <xf numFmtId="0" fontId="20" fillId="0" borderId="31" xfId="4" applyFont="1" applyBorder="1" applyAlignment="1" applyProtection="1">
      <protection locked="0"/>
    </xf>
    <xf numFmtId="0" fontId="54" fillId="0" borderId="0" xfId="4" applyFont="1" applyBorder="1" applyAlignment="1" applyProtection="1">
      <protection locked="0"/>
    </xf>
    <xf numFmtId="49" fontId="20" fillId="7" borderId="28" xfId="4" applyNumberFormat="1" applyFont="1" applyFill="1" applyBorder="1" applyAlignment="1" applyProtection="1">
      <alignment horizontal="center" vertical="center"/>
    </xf>
    <xf numFmtId="49" fontId="20" fillId="7" borderId="1" xfId="4" applyNumberFormat="1" applyFont="1" applyFill="1" applyBorder="1" applyAlignment="1" applyProtection="1">
      <alignment horizontal="center" vertical="center"/>
    </xf>
    <xf numFmtId="0" fontId="0" fillId="0" borderId="0" xfId="0" applyProtection="1">
      <protection locked="0"/>
    </xf>
    <xf numFmtId="0" fontId="55" fillId="0" borderId="0" xfId="0" applyFont="1" applyAlignment="1">
      <alignment horizontal="center"/>
    </xf>
    <xf numFmtId="0" fontId="20" fillId="0" borderId="0" xfId="4" applyFont="1" applyBorder="1" applyAlignment="1" applyProtection="1">
      <alignment horizontal="left"/>
    </xf>
    <xf numFmtId="0" fontId="54" fillId="0" borderId="0" xfId="4" applyFont="1" applyBorder="1" applyAlignment="1" applyProtection="1">
      <alignment horizontal="center"/>
    </xf>
    <xf numFmtId="49" fontId="20" fillId="7" borderId="4" xfId="4" applyNumberFormat="1" applyFont="1" applyFill="1" applyBorder="1" applyAlignment="1" applyProtection="1">
      <alignment horizontal="center" vertical="center"/>
    </xf>
    <xf numFmtId="0" fontId="20" fillId="7" borderId="32" xfId="4" applyFont="1" applyFill="1" applyBorder="1" applyAlignment="1" applyProtection="1">
      <alignment horizontal="left"/>
    </xf>
    <xf numFmtId="0" fontId="0" fillId="0" borderId="0" xfId="0" applyProtection="1"/>
    <xf numFmtId="0" fontId="54" fillId="0" borderId="0" xfId="4" applyFont="1" applyFill="1" applyBorder="1" applyAlignment="1" applyProtection="1">
      <alignment horizontal="center" vertical="center"/>
    </xf>
    <xf numFmtId="0" fontId="47" fillId="0" borderId="0" xfId="4" applyFont="1" applyBorder="1" applyAlignment="1" applyProtection="1">
      <alignment horizontal="left" vertical="center"/>
    </xf>
    <xf numFmtId="0" fontId="53" fillId="0" borderId="0" xfId="4" applyFont="1" applyBorder="1" applyAlignment="1" applyProtection="1">
      <alignment horizontal="left"/>
    </xf>
    <xf numFmtId="0" fontId="20" fillId="7" borderId="28" xfId="4" applyFont="1" applyFill="1" applyBorder="1" applyAlignment="1" applyProtection="1">
      <alignment horizontal="left"/>
    </xf>
    <xf numFmtId="0" fontId="20" fillId="7" borderId="1" xfId="4" applyFont="1" applyFill="1" applyBorder="1" applyAlignment="1" applyProtection="1">
      <alignment horizontal="left"/>
    </xf>
    <xf numFmtId="0" fontId="47" fillId="0" borderId="0" xfId="4" applyFont="1" applyBorder="1" applyAlignment="1" applyProtection="1">
      <alignment horizontal="center" vertical="center"/>
    </xf>
    <xf numFmtId="0" fontId="47" fillId="0" borderId="0" xfId="4" applyFont="1" applyFill="1" applyBorder="1" applyAlignment="1" applyProtection="1">
      <alignment horizontal="left" vertical="center"/>
    </xf>
    <xf numFmtId="0" fontId="54" fillId="0" borderId="0" xfId="4" applyFont="1" applyBorder="1" applyAlignment="1" applyProtection="1"/>
    <xf numFmtId="0" fontId="20" fillId="0" borderId="0" xfId="4" applyFont="1" applyBorder="1" applyAlignment="1" applyProtection="1"/>
    <xf numFmtId="0" fontId="69" fillId="0" borderId="0" xfId="0" applyFont="1" applyAlignment="1"/>
    <xf numFmtId="0" fontId="54" fillId="0" borderId="1" xfId="4" applyFont="1" applyBorder="1" applyAlignment="1" applyProtection="1">
      <alignment horizontal="center" vertical="center"/>
      <protection locked="0"/>
    </xf>
    <xf numFmtId="0" fontId="55" fillId="0" borderId="0" xfId="0" applyFont="1" applyAlignment="1" applyProtection="1">
      <alignment horizontal="center"/>
      <protection locked="0"/>
    </xf>
    <xf numFmtId="0" fontId="59" fillId="0" borderId="29" xfId="0" applyFont="1" applyBorder="1" applyAlignment="1" applyProtection="1">
      <alignment horizontal="center"/>
      <protection locked="0"/>
    </xf>
    <xf numFmtId="0" fontId="55" fillId="0" borderId="31" xfId="0" applyFont="1" applyBorder="1" applyAlignment="1" applyProtection="1">
      <alignment horizontal="center"/>
      <protection locked="0"/>
    </xf>
    <xf numFmtId="0" fontId="59" fillId="0" borderId="30" xfId="0" applyFont="1" applyBorder="1" applyAlignment="1" applyProtection="1">
      <alignment horizontal="center"/>
      <protection locked="0"/>
    </xf>
    <xf numFmtId="0" fontId="47" fillId="0" borderId="1" xfId="4" applyFont="1" applyBorder="1" applyAlignment="1" applyProtection="1">
      <alignment horizontal="centerContinuous" vertical="center"/>
      <protection locked="0"/>
    </xf>
    <xf numFmtId="49" fontId="35" fillId="0" borderId="11" xfId="0" applyNumberFormat="1" applyFont="1" applyFill="1" applyBorder="1" applyAlignment="1">
      <alignment horizontal="center" vertical="center"/>
    </xf>
    <xf numFmtId="0" fontId="0" fillId="0" borderId="61" xfId="0" applyBorder="1" applyAlignment="1">
      <alignment horizontal="center" vertical="center"/>
    </xf>
    <xf numFmtId="49" fontId="0" fillId="0" borderId="61"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69" fillId="0" borderId="0" xfId="0" applyFont="1" applyAlignment="1" applyProtection="1">
      <alignment horizontal="center"/>
      <protection locked="0"/>
    </xf>
    <xf numFmtId="0" fontId="53" fillId="0" borderId="0" xfId="4" applyFont="1" applyBorder="1" applyAlignment="1">
      <alignment horizontal="center"/>
    </xf>
    <xf numFmtId="49" fontId="0" fillId="0" borderId="0" xfId="0" applyNumberFormat="1" applyAlignment="1">
      <alignment horizontal="center"/>
    </xf>
    <xf numFmtId="0" fontId="69" fillId="0" borderId="0" xfId="0" applyFont="1" applyAlignment="1" applyProtection="1">
      <alignment horizontal="center"/>
      <protection locked="0"/>
    </xf>
    <xf numFmtId="0" fontId="53" fillId="0" borderId="0" xfId="4" applyFont="1" applyBorder="1" applyAlignment="1">
      <alignment horizontal="center"/>
    </xf>
    <xf numFmtId="49" fontId="20" fillId="7" borderId="66" xfId="4" applyNumberFormat="1" applyFont="1" applyFill="1" applyBorder="1" applyAlignment="1" applyProtection="1">
      <alignment horizontal="center" vertical="center"/>
    </xf>
    <xf numFmtId="0" fontId="54" fillId="0" borderId="65" xfId="4" applyFont="1" applyBorder="1" applyAlignment="1" applyProtection="1">
      <alignment horizontal="center"/>
    </xf>
    <xf numFmtId="49" fontId="20" fillId="7" borderId="59" xfId="4" applyNumberFormat="1" applyFont="1" applyFill="1" applyBorder="1" applyAlignment="1" applyProtection="1">
      <alignment horizontal="center" vertical="center"/>
    </xf>
    <xf numFmtId="0" fontId="54" fillId="0" borderId="0" xfId="4" applyFont="1" applyAlignment="1">
      <alignment horizontal="center"/>
    </xf>
    <xf numFmtId="0" fontId="20" fillId="0" borderId="0" xfId="4" applyFont="1" applyAlignment="1">
      <alignment horizontal="left"/>
    </xf>
    <xf numFmtId="0" fontId="54" fillId="0" borderId="0" xfId="4" applyFont="1" applyAlignment="1" applyProtection="1">
      <alignment horizontal="center"/>
      <protection locked="0"/>
    </xf>
    <xf numFmtId="0" fontId="47" fillId="0" borderId="0" xfId="4" applyFont="1" applyAlignment="1">
      <alignment horizontal="center"/>
    </xf>
    <xf numFmtId="0" fontId="54" fillId="0" borderId="0" xfId="4" applyFont="1" applyProtection="1">
      <protection locked="0"/>
    </xf>
    <xf numFmtId="0" fontId="20" fillId="0" borderId="0" xfId="4" applyFont="1" applyAlignment="1" applyProtection="1">
      <alignment horizontal="left" vertical="center"/>
      <protection locked="0"/>
    </xf>
    <xf numFmtId="49" fontId="20" fillId="7" borderId="4" xfId="4" applyNumberFormat="1" applyFont="1" applyFill="1" applyBorder="1" applyAlignment="1">
      <alignment horizontal="center" vertical="center"/>
    </xf>
    <xf numFmtId="0" fontId="54" fillId="0" borderId="31" xfId="4" applyFont="1" applyBorder="1" applyProtection="1">
      <protection locked="0"/>
    </xf>
    <xf numFmtId="0" fontId="53" fillId="0" borderId="0" xfId="4" applyFont="1" applyAlignment="1">
      <alignment horizontal="left"/>
    </xf>
    <xf numFmtId="0" fontId="21" fillId="0" borderId="31" xfId="4" applyFont="1" applyBorder="1" applyProtection="1">
      <protection locked="0"/>
    </xf>
    <xf numFmtId="0" fontId="20" fillId="0" borderId="0" xfId="4" applyFont="1" applyAlignment="1">
      <alignment horizontal="center"/>
    </xf>
    <xf numFmtId="0" fontId="20" fillId="0" borderId="0" xfId="4" applyFont="1" applyAlignment="1" applyProtection="1">
      <alignment vertical="center"/>
      <protection locked="0"/>
    </xf>
    <xf numFmtId="0" fontId="59" fillId="0" borderId="0" xfId="0" applyFont="1" applyAlignment="1">
      <alignment horizontal="center"/>
    </xf>
    <xf numFmtId="0" fontId="47" fillId="0" borderId="0" xfId="4" applyFont="1" applyAlignment="1">
      <alignment horizontal="center" vertical="center"/>
    </xf>
    <xf numFmtId="0" fontId="47" fillId="0" borderId="0" xfId="4" applyFont="1" applyAlignment="1">
      <alignment horizontal="left" vertical="center"/>
    </xf>
    <xf numFmtId="0" fontId="54" fillId="0" borderId="0" xfId="4" applyFont="1" applyAlignment="1" applyProtection="1">
      <alignment horizontal="center" vertical="center"/>
      <protection locked="0"/>
    </xf>
    <xf numFmtId="0" fontId="54" fillId="0" borderId="0" xfId="4" applyFont="1" applyAlignment="1">
      <alignment horizontal="center" vertical="center"/>
    </xf>
    <xf numFmtId="0" fontId="21" fillId="0" borderId="0" xfId="4" applyFont="1" applyAlignment="1" applyProtection="1">
      <alignment horizontal="center"/>
      <protection locked="0"/>
    </xf>
    <xf numFmtId="0" fontId="35" fillId="0" borderId="21" xfId="0" applyFont="1" applyBorder="1" applyAlignment="1">
      <alignment horizontal="center" vertical="center"/>
    </xf>
    <xf numFmtId="0" fontId="35" fillId="0" borderId="18" xfId="0" applyFont="1" applyBorder="1" applyAlignment="1">
      <alignment horizontal="center" vertical="center"/>
    </xf>
    <xf numFmtId="0" fontId="20" fillId="0" borderId="18" xfId="0" applyFont="1" applyBorder="1" applyAlignment="1">
      <alignment horizontal="left" vertical="center"/>
    </xf>
    <xf numFmtId="0" fontId="17" fillId="0" borderId="18" xfId="0" applyFont="1" applyBorder="1" applyAlignment="1">
      <alignment horizontal="center" vertical="center"/>
    </xf>
    <xf numFmtId="0" fontId="34" fillId="0" borderId="19" xfId="0" applyFont="1" applyBorder="1" applyAlignment="1">
      <alignment horizontal="center" vertical="center"/>
    </xf>
    <xf numFmtId="0" fontId="35" fillId="0" borderId="0" xfId="0" applyFont="1" applyAlignment="1">
      <alignment vertical="center"/>
    </xf>
    <xf numFmtId="0" fontId="17" fillId="0" borderId="0" xfId="0" applyFont="1" applyAlignment="1">
      <alignment vertical="center"/>
    </xf>
    <xf numFmtId="49" fontId="35" fillId="0" borderId="11" xfId="0" applyNumberFormat="1" applyFont="1" applyBorder="1" applyAlignment="1">
      <alignment horizontal="center" vertical="center"/>
    </xf>
    <xf numFmtId="0" fontId="35" fillId="0" borderId="3" xfId="0" applyFont="1" applyBorder="1" applyAlignment="1">
      <alignment horizontal="center" vertical="center"/>
    </xf>
    <xf numFmtId="0" fontId="21" fillId="0" borderId="3" xfId="0" applyFont="1" applyBorder="1" applyAlignment="1">
      <alignment horizontal="left" vertical="center"/>
    </xf>
    <xf numFmtId="0" fontId="17" fillId="0" borderId="3" xfId="0" applyFont="1" applyBorder="1" applyAlignment="1">
      <alignment horizontal="center" vertical="center"/>
    </xf>
    <xf numFmtId="0" fontId="17" fillId="0" borderId="3" xfId="0" applyFont="1" applyBorder="1" applyAlignment="1">
      <alignment vertical="center"/>
    </xf>
    <xf numFmtId="0" fontId="37" fillId="0" borderId="12" xfId="0" applyFont="1" applyBorder="1" applyAlignment="1">
      <alignment horizontal="center" vertical="center"/>
    </xf>
    <xf numFmtId="0" fontId="20" fillId="0" borderId="20" xfId="0" applyFont="1" applyBorder="1" applyAlignment="1">
      <alignment horizontal="left" vertical="center"/>
    </xf>
    <xf numFmtId="0" fontId="20" fillId="0" borderId="17" xfId="0" applyFont="1" applyBorder="1" applyAlignment="1">
      <alignment horizontal="left" vertical="center"/>
    </xf>
    <xf numFmtId="0" fontId="35"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horizontal="center" vertical="center"/>
    </xf>
    <xf numFmtId="0" fontId="17" fillId="0" borderId="0" xfId="0" quotePrefix="1" applyFont="1" applyAlignment="1">
      <alignment vertical="center"/>
    </xf>
    <xf numFmtId="20" fontId="35" fillId="0" borderId="0" xfId="0" applyNumberFormat="1" applyFont="1" applyAlignment="1">
      <alignment horizontal="center" vertical="center"/>
    </xf>
    <xf numFmtId="0" fontId="53" fillId="0" borderId="0" xfId="4" applyFont="1" applyAlignment="1">
      <alignment horizontal="center"/>
    </xf>
    <xf numFmtId="0" fontId="54" fillId="0" borderId="0" xfId="4" applyFont="1"/>
    <xf numFmtId="0" fontId="53" fillId="0" borderId="0" xfId="4" applyFont="1"/>
    <xf numFmtId="0" fontId="47" fillId="0" borderId="0" xfId="4" applyFont="1" applyAlignment="1" applyProtection="1">
      <alignment horizontal="center"/>
      <protection locked="0"/>
    </xf>
    <xf numFmtId="49" fontId="20" fillId="7" borderId="66" xfId="4" applyNumberFormat="1" applyFont="1" applyFill="1" applyBorder="1" applyAlignment="1">
      <alignment horizontal="center" vertical="center"/>
    </xf>
    <xf numFmtId="0" fontId="54" fillId="0" borderId="65" xfId="4" applyFont="1" applyBorder="1" applyAlignment="1">
      <alignment horizontal="center"/>
    </xf>
    <xf numFmtId="49" fontId="20" fillId="7" borderId="59" xfId="4" applyNumberFormat="1" applyFont="1" applyFill="1" applyBorder="1" applyAlignment="1">
      <alignment horizontal="center" vertical="center"/>
    </xf>
    <xf numFmtId="0" fontId="56" fillId="0" borderId="0" xfId="4" applyFont="1" applyAlignment="1">
      <alignment horizontal="left"/>
    </xf>
    <xf numFmtId="0" fontId="47" fillId="0" borderId="0" xfId="4" applyFont="1" applyAlignment="1">
      <alignment horizontal="centerContinuous" vertical="center"/>
    </xf>
    <xf numFmtId="0" fontId="47" fillId="0" borderId="0" xfId="4" applyFont="1" applyAlignment="1" applyProtection="1">
      <alignment horizontal="center" vertical="center"/>
      <protection locked="0"/>
    </xf>
    <xf numFmtId="49" fontId="47" fillId="0" borderId="0" xfId="4" applyNumberFormat="1" applyFont="1" applyAlignment="1">
      <alignment horizontal="centerContinuous" vertical="center"/>
    </xf>
    <xf numFmtId="0" fontId="73" fillId="0" borderId="0" xfId="0" applyFont="1" applyFill="1" applyBorder="1" applyAlignment="1">
      <alignment horizontal="left" indent="1"/>
    </xf>
    <xf numFmtId="0" fontId="35" fillId="0" borderId="11" xfId="0" applyFont="1" applyBorder="1" applyAlignment="1">
      <alignment horizontal="center" vertical="center"/>
    </xf>
    <xf numFmtId="0" fontId="47" fillId="0" borderId="0" xfId="4" applyFont="1" applyBorder="1" applyAlignment="1">
      <alignment horizontal="left" vertical="center"/>
    </xf>
    <xf numFmtId="0" fontId="47" fillId="0" borderId="0" xfId="4" applyFont="1" applyBorder="1" applyAlignment="1" applyProtection="1">
      <alignment horizontal="center" vertical="center"/>
      <protection locked="0"/>
    </xf>
    <xf numFmtId="0" fontId="0" fillId="0" borderId="0" xfId="0" applyBorder="1"/>
    <xf numFmtId="0" fontId="0" fillId="0" borderId="0" xfId="0" applyBorder="1" applyProtection="1">
      <protection locked="0"/>
    </xf>
    <xf numFmtId="0" fontId="0" fillId="0" borderId="0" xfId="0" applyBorder="1" applyProtection="1"/>
    <xf numFmtId="0" fontId="71" fillId="0" borderId="0" xfId="4" applyFont="1" applyFill="1" applyBorder="1" applyAlignment="1">
      <alignment horizontal="center" vertical="center"/>
    </xf>
    <xf numFmtId="0" fontId="26" fillId="0" borderId="49" xfId="4" applyFont="1" applyFill="1" applyBorder="1" applyAlignment="1">
      <alignment horizontal="center" vertical="center"/>
    </xf>
    <xf numFmtId="0" fontId="26" fillId="0" borderId="50" xfId="4" applyFont="1" applyFill="1" applyBorder="1" applyAlignment="1">
      <alignment horizontal="center" vertical="center"/>
    </xf>
    <xf numFmtId="0" fontId="58" fillId="0" borderId="0" xfId="4" applyFont="1" applyFill="1" applyBorder="1" applyAlignment="1">
      <alignment horizontal="center" vertical="center"/>
    </xf>
    <xf numFmtId="0" fontId="20" fillId="0" borderId="23" xfId="4" applyFont="1" applyBorder="1" applyAlignment="1">
      <alignment horizontal="center" vertical="center"/>
    </xf>
    <xf numFmtId="0" fontId="20" fillId="0" borderId="0" xfId="4" applyFont="1" applyAlignment="1">
      <alignment horizontal="center" vertical="center"/>
    </xf>
    <xf numFmtId="0" fontId="60" fillId="0" borderId="55" xfId="0" applyFont="1" applyBorder="1" applyAlignment="1">
      <alignment horizontal="left" vertical="center" indent="1"/>
    </xf>
    <xf numFmtId="0" fontId="60" fillId="0" borderId="56" xfId="0" applyFont="1" applyBorder="1" applyAlignment="1">
      <alignment horizontal="left" vertical="center" indent="1"/>
    </xf>
    <xf numFmtId="0" fontId="70" fillId="0" borderId="60" xfId="0" applyFont="1" applyBorder="1" applyAlignment="1">
      <alignment horizontal="center" vertical="center"/>
    </xf>
    <xf numFmtId="0" fontId="68" fillId="0" borderId="53" xfId="0" applyFont="1" applyBorder="1" applyAlignment="1">
      <alignment horizontal="center" vertical="center" wrapText="1"/>
    </xf>
    <xf numFmtId="0" fontId="68" fillId="0" borderId="54" xfId="0" applyFont="1" applyBorder="1" applyAlignment="1">
      <alignment horizontal="center" vertical="center" wrapText="1"/>
    </xf>
    <xf numFmtId="0" fontId="60" fillId="11" borderId="42" xfId="0" applyFont="1" applyFill="1" applyBorder="1" applyAlignment="1">
      <alignment horizontal="center" vertical="center"/>
    </xf>
    <xf numFmtId="0" fontId="60" fillId="11" borderId="41" xfId="0" applyFont="1" applyFill="1" applyBorder="1" applyAlignment="1">
      <alignment horizontal="center" vertical="center"/>
    </xf>
    <xf numFmtId="0" fontId="67" fillId="10" borderId="42" xfId="0" applyFont="1" applyFill="1" applyBorder="1" applyAlignment="1">
      <alignment horizontal="center" vertical="center"/>
    </xf>
    <xf numFmtId="0" fontId="67" fillId="10" borderId="41" xfId="0" applyFont="1" applyFill="1" applyBorder="1" applyAlignment="1">
      <alignment horizontal="center" vertical="center"/>
    </xf>
    <xf numFmtId="0" fontId="67" fillId="10" borderId="36" xfId="0" applyFont="1" applyFill="1" applyBorder="1" applyAlignment="1">
      <alignment horizontal="center" vertical="center"/>
    </xf>
    <xf numFmtId="0" fontId="67" fillId="10" borderId="15" xfId="0" applyFont="1" applyFill="1" applyBorder="1" applyAlignment="1">
      <alignment horizontal="center" vertical="center"/>
    </xf>
    <xf numFmtId="0" fontId="67" fillId="10" borderId="37" xfId="0" applyFont="1" applyFill="1" applyBorder="1" applyAlignment="1">
      <alignment horizontal="center" vertical="center"/>
    </xf>
    <xf numFmtId="0" fontId="67" fillId="10" borderId="38" xfId="0" applyFont="1" applyFill="1" applyBorder="1" applyAlignment="1">
      <alignment horizontal="center" vertical="center"/>
    </xf>
    <xf numFmtId="0" fontId="61" fillId="11" borderId="14" xfId="0" applyFont="1" applyFill="1" applyBorder="1" applyAlignment="1">
      <alignment horizontal="center" vertical="center"/>
    </xf>
    <xf numFmtId="0" fontId="61" fillId="11" borderId="15" xfId="0" applyFont="1" applyFill="1" applyBorder="1" applyAlignment="1">
      <alignment horizontal="center" vertical="center"/>
    </xf>
    <xf numFmtId="0" fontId="67" fillId="10" borderId="39" xfId="0" applyFont="1" applyFill="1" applyBorder="1" applyAlignment="1">
      <alignment horizontal="center" vertical="center"/>
    </xf>
    <xf numFmtId="0" fontId="67" fillId="10" borderId="14" xfId="0" applyFont="1" applyFill="1" applyBorder="1" applyAlignment="1">
      <alignment horizontal="center" vertical="center"/>
    </xf>
    <xf numFmtId="0" fontId="67" fillId="10" borderId="40" xfId="0" applyFont="1" applyFill="1" applyBorder="1" applyAlignment="1">
      <alignment horizontal="center" vertical="center"/>
    </xf>
    <xf numFmtId="0" fontId="61" fillId="11" borderId="40" xfId="0" applyFont="1" applyFill="1" applyBorder="1" applyAlignment="1">
      <alignment horizontal="center" vertical="center"/>
    </xf>
    <xf numFmtId="0" fontId="61" fillId="11" borderId="47" xfId="0" applyFont="1" applyFill="1" applyBorder="1" applyAlignment="1">
      <alignment horizontal="center" vertical="center"/>
    </xf>
    <xf numFmtId="0" fontId="67" fillId="10" borderId="44" xfId="0" applyFont="1" applyFill="1" applyBorder="1" applyAlignment="1">
      <alignment horizontal="center" vertical="center"/>
    </xf>
    <xf numFmtId="0" fontId="67" fillId="10" borderId="27" xfId="0" applyFont="1" applyFill="1" applyBorder="1" applyAlignment="1">
      <alignment horizontal="center" vertical="center"/>
    </xf>
    <xf numFmtId="0" fontId="67" fillId="10" borderId="47" xfId="0" applyFont="1" applyFill="1" applyBorder="1" applyAlignment="1">
      <alignment horizontal="center" vertical="center"/>
    </xf>
    <xf numFmtId="0" fontId="60" fillId="0" borderId="57" xfId="0" applyFont="1" applyBorder="1" applyAlignment="1">
      <alignment horizontal="left" vertical="center" indent="1"/>
    </xf>
    <xf numFmtId="0" fontId="61" fillId="11" borderId="46" xfId="0" applyFont="1" applyFill="1" applyBorder="1" applyAlignment="1">
      <alignment horizontal="center" vertical="center"/>
    </xf>
    <xf numFmtId="0" fontId="67" fillId="10" borderId="33" xfId="0" applyFont="1" applyFill="1" applyBorder="1" applyAlignment="1">
      <alignment horizontal="center" vertical="center"/>
    </xf>
    <xf numFmtId="0" fontId="67" fillId="10" borderId="34" xfId="0" applyFont="1" applyFill="1" applyBorder="1" applyAlignment="1">
      <alignment horizontal="center" vertical="center"/>
    </xf>
    <xf numFmtId="0" fontId="67" fillId="10" borderId="46" xfId="0" applyFont="1" applyFill="1" applyBorder="1" applyAlignment="1">
      <alignment horizontal="center" vertical="center"/>
    </xf>
    <xf numFmtId="0" fontId="60" fillId="0" borderId="58" xfId="0" applyFont="1" applyBorder="1" applyAlignment="1">
      <alignment horizontal="left" vertical="center" indent="1"/>
    </xf>
    <xf numFmtId="0" fontId="68" fillId="0" borderId="68" xfId="0" applyFont="1" applyBorder="1" applyAlignment="1">
      <alignment horizontal="center" vertical="center" wrapText="1"/>
    </xf>
    <xf numFmtId="0" fontId="60" fillId="0" borderId="68" xfId="0" applyFont="1" applyBorder="1" applyAlignment="1">
      <alignment horizontal="left" vertical="center" indent="1"/>
    </xf>
    <xf numFmtId="0" fontId="60" fillId="0" borderId="67" xfId="0" applyFont="1" applyBorder="1" applyAlignment="1">
      <alignment horizontal="left" vertical="center" indent="1"/>
    </xf>
    <xf numFmtId="0" fontId="60" fillId="0" borderId="53" xfId="0" applyFont="1" applyBorder="1" applyAlignment="1">
      <alignment horizontal="left" vertical="center" indent="1"/>
    </xf>
    <xf numFmtId="20" fontId="35" fillId="0" borderId="51" xfId="0" applyNumberFormat="1" applyFont="1" applyBorder="1" applyAlignment="1">
      <alignment horizontal="center" vertical="center"/>
    </xf>
    <xf numFmtId="20" fontId="35" fillId="0" borderId="17" xfId="0" applyNumberFormat="1" applyFont="1" applyBorder="1" applyAlignment="1">
      <alignment horizontal="center" vertical="center"/>
    </xf>
    <xf numFmtId="0" fontId="37" fillId="0" borderId="17" xfId="0" applyFont="1" applyBorder="1" applyAlignment="1">
      <alignment horizontal="center" vertical="center"/>
    </xf>
    <xf numFmtId="0" fontId="37" fillId="0" borderId="52" xfId="0" applyFont="1" applyBorder="1" applyAlignment="1">
      <alignment horizontal="center" vertical="center"/>
    </xf>
    <xf numFmtId="20" fontId="35" fillId="0" borderId="51" xfId="0" applyNumberFormat="1" applyFont="1" applyFill="1" applyBorder="1" applyAlignment="1">
      <alignment horizontal="center" vertical="center"/>
    </xf>
    <xf numFmtId="20" fontId="35" fillId="0" borderId="17" xfId="0" applyNumberFormat="1" applyFont="1" applyFill="1" applyBorder="1" applyAlignment="1">
      <alignment horizontal="center" vertical="center"/>
    </xf>
    <xf numFmtId="0" fontId="37" fillId="0" borderId="17" xfId="0" applyFont="1" applyFill="1" applyBorder="1" applyAlignment="1">
      <alignment horizontal="center" vertical="center"/>
    </xf>
    <xf numFmtId="0" fontId="37" fillId="0" borderId="52" xfId="0" applyFont="1" applyFill="1" applyBorder="1" applyAlignment="1">
      <alignment horizontal="center" vertical="center"/>
    </xf>
    <xf numFmtId="0" fontId="69" fillId="0" borderId="0" xfId="0" applyFont="1" applyAlignment="1" applyProtection="1">
      <alignment horizontal="center"/>
      <protection locked="0"/>
    </xf>
    <xf numFmtId="0" fontId="53" fillId="0" borderId="1" xfId="4" applyFont="1" applyBorder="1" applyAlignment="1">
      <alignment horizontal="center" vertical="center"/>
    </xf>
    <xf numFmtId="0" fontId="53" fillId="0" borderId="0" xfId="4" applyFont="1" applyBorder="1" applyAlignment="1">
      <alignment horizontal="center"/>
    </xf>
    <xf numFmtId="0" fontId="53" fillId="0" borderId="0" xfId="4" applyFont="1" applyAlignment="1">
      <alignment horizontal="center"/>
    </xf>
    <xf numFmtId="0" fontId="53" fillId="0" borderId="0" xfId="4" applyFont="1" applyAlignment="1">
      <alignment horizontal="center" vertical="center"/>
    </xf>
    <xf numFmtId="0" fontId="46" fillId="0" borderId="17" xfId="0" applyFont="1" applyFill="1" applyBorder="1" applyAlignment="1">
      <alignment horizontal="center" vertical="center"/>
    </xf>
    <xf numFmtId="0" fontId="46" fillId="0" borderId="52" xfId="0" applyFont="1" applyFill="1" applyBorder="1" applyAlignment="1">
      <alignment horizontal="center" vertical="center"/>
    </xf>
    <xf numFmtId="0" fontId="34" fillId="0" borderId="49" xfId="4" applyFont="1" applyFill="1" applyBorder="1" applyAlignment="1">
      <alignment horizontal="center" vertical="center"/>
    </xf>
    <xf numFmtId="0" fontId="34" fillId="0" borderId="50" xfId="4" applyFont="1" applyFill="1" applyBorder="1" applyAlignment="1">
      <alignment horizontal="center" vertical="center"/>
    </xf>
    <xf numFmtId="0" fontId="33" fillId="0" borderId="17" xfId="0" applyFont="1" applyFill="1" applyBorder="1" applyAlignment="1">
      <alignment horizontal="center" vertical="center"/>
    </xf>
    <xf numFmtId="0" fontId="33" fillId="0" borderId="52" xfId="0" applyFont="1" applyFill="1" applyBorder="1" applyAlignment="1">
      <alignment horizontal="center" vertical="center"/>
    </xf>
    <xf numFmtId="49" fontId="5" fillId="0" borderId="22"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4" xfId="0" applyNumberFormat="1" applyFont="1" applyBorder="1" applyAlignment="1">
      <alignment horizontal="center" vertical="center"/>
    </xf>
    <xf numFmtId="0" fontId="41" fillId="9" borderId="1" xfId="0" applyNumberFormat="1" applyFont="1" applyFill="1" applyBorder="1" applyAlignment="1">
      <alignment horizontal="left" vertical="center"/>
    </xf>
    <xf numFmtId="0" fontId="41" fillId="9" borderId="1" xfId="0" applyNumberFormat="1" applyFont="1" applyFill="1" applyBorder="1" applyAlignment="1">
      <alignment vertical="center"/>
    </xf>
    <xf numFmtId="0" fontId="41" fillId="9" borderId="30" xfId="0" applyNumberFormat="1" applyFont="1" applyFill="1" applyBorder="1" applyAlignment="1">
      <alignment vertical="center"/>
    </xf>
    <xf numFmtId="0" fontId="41" fillId="9" borderId="59" xfId="0" applyNumberFormat="1" applyFont="1" applyFill="1" applyBorder="1" applyAlignment="1">
      <alignment horizontal="left" vertical="center"/>
    </xf>
    <xf numFmtId="0" fontId="41" fillId="9" borderId="28" xfId="0" applyNumberFormat="1" applyFont="1" applyFill="1" applyBorder="1" applyAlignment="1">
      <alignment vertical="center"/>
    </xf>
    <xf numFmtId="0" fontId="41" fillId="9" borderId="29" xfId="0" applyNumberFormat="1" applyFont="1" applyFill="1" applyBorder="1" applyAlignment="1">
      <alignment vertical="center"/>
    </xf>
    <xf numFmtId="0" fontId="41" fillId="9" borderId="59" xfId="0" applyNumberFormat="1" applyFont="1" applyFill="1" applyBorder="1" applyAlignment="1">
      <alignment vertical="center"/>
    </xf>
    <xf numFmtId="0" fontId="42" fillId="0" borderId="0" xfId="0" applyNumberFormat="1" applyFont="1" applyBorder="1" applyAlignment="1">
      <alignment horizontal="center" vertical="center"/>
    </xf>
    <xf numFmtId="0" fontId="41" fillId="9" borderId="1" xfId="0" applyNumberFormat="1" applyFont="1" applyFill="1" applyBorder="1" applyAlignment="1">
      <alignment horizontal="center" vertical="center"/>
    </xf>
    <xf numFmtId="0" fontId="16" fillId="9" borderId="1" xfId="0" applyNumberFormat="1" applyFont="1" applyFill="1" applyBorder="1" applyAlignment="1">
      <alignment horizontal="left" vertical="center"/>
    </xf>
    <xf numFmtId="0" fontId="41" fillId="9" borderId="28" xfId="0" applyNumberFormat="1" applyFont="1" applyFill="1" applyBorder="1" applyAlignment="1">
      <alignment horizontal="left" vertical="center"/>
    </xf>
    <xf numFmtId="0" fontId="41" fillId="9" borderId="29" xfId="0" applyNumberFormat="1" applyFont="1" applyFill="1" applyBorder="1" applyAlignment="1">
      <alignment horizontal="left" vertical="center"/>
    </xf>
    <xf numFmtId="0" fontId="41" fillId="9" borderId="30" xfId="0" applyNumberFormat="1" applyFont="1" applyFill="1" applyBorder="1" applyAlignment="1">
      <alignment horizontal="left" vertical="center"/>
    </xf>
    <xf numFmtId="0" fontId="42" fillId="0" borderId="1" xfId="0" applyNumberFormat="1" applyFont="1" applyBorder="1" applyAlignment="1">
      <alignment horizontal="center" vertical="center"/>
    </xf>
    <xf numFmtId="0" fontId="35" fillId="0" borderId="51" xfId="0" applyNumberFormat="1" applyFont="1" applyFill="1" applyBorder="1" applyAlignment="1">
      <alignment horizontal="center" vertical="center"/>
    </xf>
    <xf numFmtId="0" fontId="35" fillId="0" borderId="17" xfId="0" applyNumberFormat="1" applyFont="1" applyFill="1" applyBorder="1" applyAlignment="1">
      <alignment horizontal="center" vertical="center"/>
    </xf>
    <xf numFmtId="20" fontId="17" fillId="0" borderId="0" xfId="4" applyNumberFormat="1" applyAlignment="1">
      <alignment horizontal="center" vertical="center"/>
    </xf>
    <xf numFmtId="0" fontId="17" fillId="0" borderId="0" xfId="4" applyAlignment="1">
      <alignment horizontal="center" vertical="center"/>
    </xf>
    <xf numFmtId="0" fontId="17" fillId="0" borderId="0" xfId="4" applyAlignment="1">
      <alignment horizontal="center"/>
    </xf>
    <xf numFmtId="0" fontId="0" fillId="13" borderId="62" xfId="0" applyFill="1" applyBorder="1" applyAlignment="1">
      <alignment horizontal="center" vertical="center" wrapText="1"/>
    </xf>
    <xf numFmtId="0" fontId="0" fillId="13" borderId="63" xfId="0" applyFill="1" applyBorder="1" applyAlignment="1">
      <alignment horizontal="center" vertical="center" wrapText="1"/>
    </xf>
    <xf numFmtId="0" fontId="0" fillId="13" borderId="64" xfId="0" applyFill="1" applyBorder="1" applyAlignment="1">
      <alignment horizontal="center" vertical="center" wrapText="1"/>
    </xf>
    <xf numFmtId="0" fontId="55" fillId="13" borderId="62" xfId="0" applyFont="1" applyFill="1" applyBorder="1" applyAlignment="1">
      <alignment horizontal="center" vertical="center" wrapText="1"/>
    </xf>
    <xf numFmtId="0" fontId="55" fillId="13" borderId="63" xfId="0" applyFont="1" applyFill="1" applyBorder="1" applyAlignment="1">
      <alignment horizontal="center" vertical="center" wrapText="1"/>
    </xf>
    <xf numFmtId="0" fontId="55" fillId="13" borderId="64" xfId="0" applyFont="1" applyFill="1" applyBorder="1" applyAlignment="1">
      <alignment horizontal="center" vertical="center" wrapText="1"/>
    </xf>
    <xf numFmtId="0" fontId="72" fillId="0" borderId="0" xfId="0" applyFont="1" applyAlignment="1">
      <alignment horizontal="center" vertical="center"/>
    </xf>
  </cellXfs>
  <cellStyles count="7">
    <cellStyle name="čárky [0]_32hráčů_2stupně" xfId="1" xr:uid="{00000000-0005-0000-0000-000000000000}"/>
    <cellStyle name="Hyperlink" xfId="2" xr:uid="{00000000-0005-0000-0000-000001000000}"/>
    <cellStyle name="Normální" xfId="0" builtinId="0"/>
    <cellStyle name="normální 2" xfId="3" xr:uid="{00000000-0005-0000-0000-000003000000}"/>
    <cellStyle name="normální_32hráčů_2stupně" xfId="4" xr:uid="{00000000-0005-0000-0000-000004000000}"/>
    <cellStyle name="normální_Mreduk99" xfId="5" xr:uid="{00000000-0005-0000-0000-000005000000}"/>
    <cellStyle name="normální_Pha_mladez2000"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00"/>
  <sheetViews>
    <sheetView showGridLines="0" view="pageBreakPreview" zoomScale="115" zoomScaleNormal="100" zoomScaleSheetLayoutView="115" workbookViewId="0">
      <selection activeCell="B22" sqref="B22"/>
    </sheetView>
  </sheetViews>
  <sheetFormatPr defaultColWidth="8" defaultRowHeight="12.75" x14ac:dyDescent="0.2"/>
  <cols>
    <col min="1" max="1" width="4.5703125" style="131" bestFit="1" customWidth="1"/>
    <col min="2" max="3" width="20" style="222" customWidth="1"/>
    <col min="4" max="4" width="22.7109375" style="222" customWidth="1"/>
    <col min="5" max="5" width="40.7109375" style="130" customWidth="1"/>
    <col min="6" max="6" width="22.7109375" style="222" customWidth="1"/>
    <col min="7" max="7" width="11.140625" style="222" bestFit="1" customWidth="1"/>
    <col min="8" max="16384" width="8" style="130"/>
  </cols>
  <sheetData>
    <row r="1" spans="1:7" s="267" customFormat="1" x14ac:dyDescent="0.2">
      <c r="A1" s="265" t="s">
        <v>139</v>
      </c>
      <c r="B1" s="266" t="s">
        <v>228</v>
      </c>
      <c r="C1" s="266" t="s">
        <v>229</v>
      </c>
      <c r="D1" s="266" t="s">
        <v>230</v>
      </c>
      <c r="E1" s="267" t="s">
        <v>658</v>
      </c>
      <c r="F1" s="266" t="s">
        <v>657</v>
      </c>
      <c r="G1" s="266" t="s">
        <v>671</v>
      </c>
    </row>
    <row r="2" spans="1:7" x14ac:dyDescent="0.2">
      <c r="A2" s="132">
        <v>1</v>
      </c>
      <c r="B2" s="271" t="s">
        <v>687</v>
      </c>
      <c r="C2" s="271" t="s">
        <v>688</v>
      </c>
      <c r="D2" s="271" t="s">
        <v>656</v>
      </c>
      <c r="E2" s="130" t="str">
        <f>IF(C2="","bye",IF(D2="",CONCATENATE(UPPER(C2)," ",B2),CONCATENATE(UPPER(C2)," ",B2," (",D2,")")))</f>
        <v>GRABOVSKÝ Jaroslav (SKST Hodonín)</v>
      </c>
      <c r="F2" s="379">
        <v>6</v>
      </c>
      <c r="G2" s="379">
        <v>2008</v>
      </c>
    </row>
    <row r="3" spans="1:7" x14ac:dyDescent="0.2">
      <c r="A3" s="132">
        <v>2</v>
      </c>
      <c r="B3" s="271" t="s">
        <v>639</v>
      </c>
      <c r="C3" s="271" t="s">
        <v>675</v>
      </c>
      <c r="D3" s="379" t="s">
        <v>634</v>
      </c>
      <c r="E3" s="130" t="str">
        <f>IF(C3="","bye",IF(D3="",CONCATENATE(UPPER(C3)," ",B3),CONCATENATE(UPPER(C3)," ",B3," (",D3,")")))</f>
        <v>NOVOHRADSKÁ Karolína (KST Blansko)</v>
      </c>
      <c r="F3" s="379">
        <v>9</v>
      </c>
      <c r="G3" s="379">
        <v>2005</v>
      </c>
    </row>
    <row r="4" spans="1:7" x14ac:dyDescent="0.2">
      <c r="A4" s="132">
        <v>3</v>
      </c>
      <c r="B4" s="271" t="s">
        <v>686</v>
      </c>
      <c r="C4" s="271" t="s">
        <v>702</v>
      </c>
      <c r="D4" s="269" t="s">
        <v>633</v>
      </c>
      <c r="E4" s="130" t="str">
        <f>IF(C4="","bye",IF(D4="",CONCATENATE(UPPER(C4)," ",B4),CONCATENATE(UPPER(C4)," ",B4," (",D4,")")))</f>
        <v>MASOPUSTOVÁ Lucie (MSK Břeclav)</v>
      </c>
      <c r="F4" s="379">
        <v>10</v>
      </c>
      <c r="G4" s="269">
        <v>2006</v>
      </c>
    </row>
    <row r="5" spans="1:7" x14ac:dyDescent="0.2">
      <c r="A5" s="132">
        <v>4</v>
      </c>
      <c r="B5" s="271" t="s">
        <v>641</v>
      </c>
      <c r="C5" s="271" t="s">
        <v>642</v>
      </c>
      <c r="D5" s="269" t="s">
        <v>646</v>
      </c>
      <c r="E5" s="130" t="str">
        <f>IF(C5="","bye",IF(D5="",CONCATENATE(UPPER(C5)," ",B5),CONCATENATE(UPPER(C5)," ",B5," (",D5,")")))</f>
        <v>SOBOTÍKOVÁ Monika (TTC MS Brno)</v>
      </c>
      <c r="F5" s="379">
        <v>12</v>
      </c>
      <c r="G5" s="269">
        <v>2007</v>
      </c>
    </row>
    <row r="6" spans="1:7" x14ac:dyDescent="0.2">
      <c r="A6" s="132">
        <v>5</v>
      </c>
      <c r="B6" s="271" t="s">
        <v>301</v>
      </c>
      <c r="C6" s="271" t="s">
        <v>304</v>
      </c>
      <c r="D6" s="271" t="s">
        <v>636</v>
      </c>
      <c r="E6" s="130" t="str">
        <f>IF(C6="","bye",IF(D6="",CONCATENATE(UPPER(C6)," ",B6),CONCATENATE(UPPER(C6)," ",B6," (",D6,")")))</f>
        <v>KRIŠTOF Lukáš (TTC Koral Tišnov)</v>
      </c>
      <c r="F6" s="379">
        <v>13</v>
      </c>
      <c r="G6" s="379">
        <v>2005</v>
      </c>
    </row>
    <row r="7" spans="1:7" x14ac:dyDescent="0.2">
      <c r="A7" s="132">
        <v>6</v>
      </c>
      <c r="B7" s="271" t="s">
        <v>301</v>
      </c>
      <c r="C7" s="271" t="s">
        <v>700</v>
      </c>
      <c r="D7" s="269" t="s">
        <v>646</v>
      </c>
      <c r="E7" s="130" t="str">
        <f>IF(C7="","bye",IF(D7="",CONCATENATE(UPPER(C7)," ",B7),CONCATENATE(UPPER(C7)," ",B7," (",D7,")")))</f>
        <v>BUK Lukáš (TTC MS Brno)</v>
      </c>
      <c r="F7" s="379">
        <v>14</v>
      </c>
      <c r="G7" s="269">
        <v>2006</v>
      </c>
    </row>
    <row r="8" spans="1:7" x14ac:dyDescent="0.2">
      <c r="A8" s="132">
        <v>7</v>
      </c>
      <c r="B8" s="271" t="s">
        <v>305</v>
      </c>
      <c r="C8" s="271" t="s">
        <v>673</v>
      </c>
      <c r="D8" s="379" t="s">
        <v>634</v>
      </c>
      <c r="E8" s="130" t="str">
        <f>IF(C8="","bye",IF(D8="",CONCATENATE(UPPER(C8)," ",B8),CONCATENATE(UPPER(C8)," ",B8," (",D8,")")))</f>
        <v>POKORNÝ Martin (KST Blansko)</v>
      </c>
      <c r="F8" s="379">
        <v>15</v>
      </c>
      <c r="G8" s="379">
        <v>2004</v>
      </c>
    </row>
    <row r="9" spans="1:7" x14ac:dyDescent="0.2">
      <c r="A9" s="132">
        <v>8</v>
      </c>
      <c r="B9" s="271" t="s">
        <v>643</v>
      </c>
      <c r="C9" s="271" t="s">
        <v>691</v>
      </c>
      <c r="D9" s="271" t="s">
        <v>645</v>
      </c>
      <c r="E9" s="130" t="str">
        <f>IF(C9="","bye",IF(D9="",CONCATENATE(UPPER(C9)," ",B9),CONCATENATE(UPPER(C9)," ",B9," (",D9,")")))</f>
        <v>DOFEK David (KST Vyškov)</v>
      </c>
      <c r="F9" s="379">
        <v>16</v>
      </c>
      <c r="G9" s="379">
        <v>2003</v>
      </c>
    </row>
    <row r="10" spans="1:7" x14ac:dyDescent="0.2">
      <c r="A10" s="132">
        <v>9</v>
      </c>
      <c r="B10" s="271" t="s">
        <v>635</v>
      </c>
      <c r="C10" s="271" t="s">
        <v>701</v>
      </c>
      <c r="D10" s="269" t="s">
        <v>646</v>
      </c>
      <c r="E10" s="130" t="str">
        <f>IF(C10="","bye",IF(D10="",CONCATENATE(UPPER(C10)," ",B10),CONCATENATE(UPPER(C10)," ",B10," (",D10,")")))</f>
        <v>CHALÚPEK Filip (TTC MS Brno)</v>
      </c>
      <c r="F10" s="379">
        <v>19</v>
      </c>
      <c r="G10" s="269">
        <v>2005</v>
      </c>
    </row>
    <row r="11" spans="1:7" x14ac:dyDescent="0.2">
      <c r="A11" s="132">
        <v>10</v>
      </c>
      <c r="B11" s="271" t="s">
        <v>303</v>
      </c>
      <c r="C11" s="271" t="s">
        <v>640</v>
      </c>
      <c r="D11" s="271" t="s">
        <v>645</v>
      </c>
      <c r="E11" s="130" t="str">
        <f>IF(C11="","bye",IF(D11="",CONCATENATE(UPPER(C11)," ",B11),CONCATENATE(UPPER(C11)," ",B11," (",D11,")")))</f>
        <v>LUSKA Petr (KST Vyškov)</v>
      </c>
      <c r="F11" s="379">
        <v>22</v>
      </c>
      <c r="G11" s="379">
        <v>2007</v>
      </c>
    </row>
    <row r="12" spans="1:7" x14ac:dyDescent="0.2">
      <c r="A12" s="132">
        <v>11</v>
      </c>
      <c r="B12" s="271" t="s">
        <v>676</v>
      </c>
      <c r="C12" s="271" t="s">
        <v>677</v>
      </c>
      <c r="D12" s="379" t="s">
        <v>634</v>
      </c>
      <c r="E12" s="130" t="str">
        <f>IF(C12="","bye",IF(D12="",CONCATENATE(UPPER(C12)," ",B12),CONCATENATE(UPPER(C12)," ",B12," (",D12,")")))</f>
        <v>MAZALOVÁ Kristýna (KST Blansko)</v>
      </c>
      <c r="F12" s="379">
        <v>24</v>
      </c>
      <c r="G12" s="379">
        <v>2004</v>
      </c>
    </row>
    <row r="13" spans="1:7" x14ac:dyDescent="0.2">
      <c r="A13" s="132">
        <v>12</v>
      </c>
      <c r="B13" s="221" t="s">
        <v>643</v>
      </c>
      <c r="C13" s="221" t="s">
        <v>644</v>
      </c>
      <c r="D13" s="269" t="s">
        <v>646</v>
      </c>
      <c r="E13" s="130" t="str">
        <f>IF(C13="","bye",IF(D13="",CONCATENATE(UPPER(C13)," ",B13),CONCATENATE(UPPER(C13)," ",B13," (",D13,")")))</f>
        <v>KREJČÍ David (TTC MS Brno)</v>
      </c>
      <c r="F13" s="379">
        <v>25</v>
      </c>
      <c r="G13" s="269">
        <v>2007</v>
      </c>
    </row>
    <row r="14" spans="1:7" x14ac:dyDescent="0.2">
      <c r="A14" s="132">
        <v>13</v>
      </c>
      <c r="B14" s="271" t="s">
        <v>650</v>
      </c>
      <c r="C14" s="271" t="s">
        <v>697</v>
      </c>
      <c r="D14" s="269" t="s">
        <v>646</v>
      </c>
      <c r="E14" s="130" t="str">
        <f>IF(C14="","bye",IF(D14="",CONCATENATE(UPPER(C14)," ",B14),CONCATENATE(UPPER(C14)," ",B14," (",D14,")")))</f>
        <v>HAVRÁNEK Ondřej (TTC MS Brno)</v>
      </c>
      <c r="F14" s="379">
        <v>27</v>
      </c>
      <c r="G14" s="269">
        <v>2005</v>
      </c>
    </row>
    <row r="15" spans="1:7" x14ac:dyDescent="0.2">
      <c r="A15" s="132">
        <v>14</v>
      </c>
      <c r="B15" s="271" t="s">
        <v>650</v>
      </c>
      <c r="C15" s="271" t="s">
        <v>674</v>
      </c>
      <c r="D15" s="379" t="s">
        <v>634</v>
      </c>
      <c r="E15" s="130" t="str">
        <f>IF(C15="","bye",IF(D15="",CONCATENATE(UPPER(C15)," ",B15),CONCATENATE(UPPER(C15)," ",B15," (",D15,")")))</f>
        <v>ŠTĚPÁNEK Ondřej (KST Blansko)</v>
      </c>
      <c r="F15" s="379">
        <v>33</v>
      </c>
      <c r="G15" s="379">
        <v>2003</v>
      </c>
    </row>
    <row r="16" spans="1:7" x14ac:dyDescent="0.2">
      <c r="A16" s="132">
        <v>15</v>
      </c>
      <c r="B16" s="271" t="s">
        <v>652</v>
      </c>
      <c r="C16" s="271" t="s">
        <v>653</v>
      </c>
      <c r="D16" s="271" t="s">
        <v>656</v>
      </c>
      <c r="E16" s="130" t="str">
        <f>IF(C16="","bye",IF(D16="",CONCATENATE(UPPER(C16)," ",B16),CONCATENATE(UPPER(C16)," ",B16," (",D16,")")))</f>
        <v>HOLUBOVÁ Simona (SKST Hodonín)</v>
      </c>
      <c r="F16" s="379">
        <v>35</v>
      </c>
      <c r="G16" s="379">
        <v>2010</v>
      </c>
    </row>
    <row r="17" spans="1:7" x14ac:dyDescent="0.2">
      <c r="A17" s="132">
        <v>16</v>
      </c>
      <c r="B17" s="271" t="s">
        <v>678</v>
      </c>
      <c r="C17" s="271" t="s">
        <v>679</v>
      </c>
      <c r="D17" s="379" t="s">
        <v>634</v>
      </c>
      <c r="E17" s="130" t="str">
        <f>IF(C17="","bye",IF(D17="",CONCATENATE(UPPER(C17)," ",B17),CONCATENATE(UPPER(C17)," ",B17," (",D17,")")))</f>
        <v>PILITOWSKÁ Lea (KST Blansko)</v>
      </c>
      <c r="F17" s="379">
        <v>41</v>
      </c>
      <c r="G17" s="379">
        <v>2005</v>
      </c>
    </row>
    <row r="18" spans="1:7" x14ac:dyDescent="0.2">
      <c r="A18" s="132">
        <v>17</v>
      </c>
      <c r="B18" s="271" t="s">
        <v>648</v>
      </c>
      <c r="C18" s="271" t="s">
        <v>649</v>
      </c>
      <c r="D18" s="271" t="s">
        <v>656</v>
      </c>
      <c r="E18" s="130" t="str">
        <f>IF(C18="","bye",IF(D18="",CONCATENATE(UPPER(C18)," ",B18),CONCATENATE(UPPER(C18)," ",B18," (",D18,")")))</f>
        <v>PAŘÍZEK Richard (SKST Hodonín)</v>
      </c>
      <c r="F18" s="379">
        <v>48</v>
      </c>
      <c r="G18" s="379">
        <v>2008</v>
      </c>
    </row>
    <row r="19" spans="1:7" x14ac:dyDescent="0.2">
      <c r="A19" s="132">
        <v>18</v>
      </c>
      <c r="B19" s="271" t="s">
        <v>301</v>
      </c>
      <c r="C19" s="271" t="s">
        <v>696</v>
      </c>
      <c r="D19" s="269" t="s">
        <v>646</v>
      </c>
      <c r="E19" s="130" t="str">
        <f>IF(C19="","bye",IF(D19="",CONCATENATE(UPPER(C19)," ",B19),CONCATENATE(UPPER(C19)," ",B19," (",D19,")")))</f>
        <v>HORNÍČEK Lukáš (TTC MS Brno)</v>
      </c>
      <c r="F19" s="379">
        <v>49</v>
      </c>
      <c r="G19" s="379">
        <v>2005</v>
      </c>
    </row>
    <row r="20" spans="1:7" x14ac:dyDescent="0.2">
      <c r="A20" s="132">
        <v>19</v>
      </c>
      <c r="B20" s="271" t="s">
        <v>676</v>
      </c>
      <c r="C20" s="271" t="s">
        <v>690</v>
      </c>
      <c r="D20" s="271" t="s">
        <v>656</v>
      </c>
      <c r="E20" s="130" t="str">
        <f>IF(C20="","bye",IF(D20="",CONCATENATE(UPPER(C20)," ",B20),CONCATENATE(UPPER(C20)," ",B20," (",D20,")")))</f>
        <v>KOTÁSKOVÁ Kristýna (SKST Hodonín)</v>
      </c>
      <c r="F20" s="379">
        <v>50</v>
      </c>
      <c r="G20" s="379">
        <v>2006</v>
      </c>
    </row>
    <row r="21" spans="1:7" x14ac:dyDescent="0.2">
      <c r="A21" s="132">
        <v>20</v>
      </c>
      <c r="B21" s="271" t="s">
        <v>650</v>
      </c>
      <c r="C21" s="271" t="s">
        <v>651</v>
      </c>
      <c r="D21" s="271" t="s">
        <v>656</v>
      </c>
      <c r="E21" s="130" t="str">
        <f>IF(C21="","bye",IF(D21="",CONCATENATE(UPPER(C21)," ",B21),CONCATENATE(UPPER(C21)," ",B21," (",D21,")")))</f>
        <v>KRÁL Ondřej (SKST Hodonín)</v>
      </c>
      <c r="F21" s="379">
        <v>55</v>
      </c>
      <c r="G21" s="379">
        <v>2009</v>
      </c>
    </row>
    <row r="22" spans="1:7" x14ac:dyDescent="0.2">
      <c r="A22" s="132">
        <v>21</v>
      </c>
      <c r="B22" s="271" t="s">
        <v>694</v>
      </c>
      <c r="C22" s="271" t="s">
        <v>695</v>
      </c>
      <c r="D22" s="271" t="s">
        <v>645</v>
      </c>
      <c r="E22" s="130" t="str">
        <f>IF(C22="","bye",IF(D22="",CONCATENATE(UPPER(C22)," ",B22),CONCATENATE(UPPER(C22)," ",B22," (",D22,")")))</f>
        <v>VINCENEC Oliver (KST Vyškov)</v>
      </c>
      <c r="F22" s="379">
        <v>56</v>
      </c>
      <c r="G22" s="379">
        <v>2007</v>
      </c>
    </row>
    <row r="23" spans="1:7" x14ac:dyDescent="0.2">
      <c r="A23" s="132">
        <v>22</v>
      </c>
      <c r="B23" s="271" t="s">
        <v>654</v>
      </c>
      <c r="C23" s="271" t="s">
        <v>655</v>
      </c>
      <c r="D23" s="271" t="s">
        <v>656</v>
      </c>
      <c r="E23" s="130" t="str">
        <f>IF(C23="","bye",IF(D23="",CONCATENATE(UPPER(C23)," ",B23),CONCATENATE(UPPER(C23)," ",B23," (",D23,")")))</f>
        <v>NOVOTNÁ Eliška (SKST Hodonín)</v>
      </c>
      <c r="F23" s="379">
        <v>60</v>
      </c>
      <c r="G23" s="379">
        <v>2009</v>
      </c>
    </row>
    <row r="24" spans="1:7" x14ac:dyDescent="0.2">
      <c r="A24" s="132">
        <v>23</v>
      </c>
      <c r="B24" s="271" t="s">
        <v>647</v>
      </c>
      <c r="C24" s="271" t="s">
        <v>685</v>
      </c>
      <c r="D24" s="271" t="s">
        <v>636</v>
      </c>
      <c r="E24" s="130" t="str">
        <f>IF(C24="","bye",IF(D24="",CONCATENATE(UPPER(C24)," ",B24),CONCATENATE(UPPER(C24)," ",B24," (",D24,")")))</f>
        <v>KURDIOVSKÝ Matěj (TTC Koral Tišnov)</v>
      </c>
      <c r="F24" s="379">
        <v>76</v>
      </c>
      <c r="G24" s="379">
        <v>2006</v>
      </c>
    </row>
    <row r="25" spans="1:7" x14ac:dyDescent="0.2">
      <c r="A25" s="132">
        <v>24</v>
      </c>
      <c r="B25" s="271" t="s">
        <v>698</v>
      </c>
      <c r="C25" s="271" t="s">
        <v>699</v>
      </c>
      <c r="D25" s="269" t="s">
        <v>646</v>
      </c>
      <c r="E25" s="130" t="str">
        <f>IF(C25="","bye",IF(D25="",CONCATENATE(UPPER(C25)," ",B25),CONCATENATE(UPPER(C25)," ",B25," (",D25,")")))</f>
        <v>ŠIMEČEK Robin (TTC MS Brno)</v>
      </c>
      <c r="F25" s="379">
        <v>80</v>
      </c>
      <c r="G25" s="269">
        <v>2006</v>
      </c>
    </row>
    <row r="26" spans="1:7" x14ac:dyDescent="0.2">
      <c r="A26" s="132">
        <v>25</v>
      </c>
      <c r="B26" s="271" t="s">
        <v>301</v>
      </c>
      <c r="C26" s="271" t="s">
        <v>689</v>
      </c>
      <c r="D26" s="271" t="s">
        <v>656</v>
      </c>
      <c r="E26" s="130" t="str">
        <f>IF(C26="","bye",IF(D26="",CONCATENATE(UPPER(C26)," ",B26),CONCATENATE(UPPER(C26)," ",B26," (",D26,")")))</f>
        <v>ŠTĚRBÁK Lukáš (SKST Hodonín)</v>
      </c>
      <c r="F26" s="379">
        <v>82</v>
      </c>
      <c r="G26" s="379">
        <v>2007</v>
      </c>
    </row>
    <row r="27" spans="1:7" x14ac:dyDescent="0.2">
      <c r="A27" s="132">
        <v>26</v>
      </c>
      <c r="B27" s="271" t="s">
        <v>302</v>
      </c>
      <c r="C27" s="271" t="s">
        <v>693</v>
      </c>
      <c r="D27" s="271" t="s">
        <v>645</v>
      </c>
      <c r="E27" s="130" t="str">
        <f>IF(C27="","bye",IF(D27="",CONCATENATE(UPPER(C27)," ",B27),CONCATENATE(UPPER(C27)," ",B27," (",D27,")")))</f>
        <v>GRÜNWALD Michal (KST Vyškov)</v>
      </c>
      <c r="F27" s="379">
        <v>90</v>
      </c>
      <c r="G27" s="379">
        <v>2006</v>
      </c>
    </row>
    <row r="28" spans="1:7" x14ac:dyDescent="0.2">
      <c r="A28" s="132">
        <v>27</v>
      </c>
      <c r="B28" s="271" t="s">
        <v>683</v>
      </c>
      <c r="C28" s="271" t="s">
        <v>684</v>
      </c>
      <c r="D28" s="271" t="s">
        <v>636</v>
      </c>
      <c r="E28" s="130" t="str">
        <f>IF(C28="","bye",IF(D28="",CONCATENATE(UPPER(C28)," ",B28),CONCATENATE(UPPER(C28)," ",B28," (",D28,")")))</f>
        <v>BAHENSKÝ Tomáš (TTC Koral Tišnov)</v>
      </c>
      <c r="F28" s="379">
        <v>104</v>
      </c>
      <c r="G28" s="379">
        <v>2006</v>
      </c>
    </row>
    <row r="29" spans="1:7" x14ac:dyDescent="0.2">
      <c r="A29" s="132">
        <v>28</v>
      </c>
      <c r="B29" s="271" t="s">
        <v>680</v>
      </c>
      <c r="C29" s="271" t="s">
        <v>681</v>
      </c>
      <c r="D29" s="379" t="s">
        <v>634</v>
      </c>
      <c r="E29" s="130" t="str">
        <f>IF(C29="","bye",IF(D29="",CONCATENATE(UPPER(C29)," ",B29),CONCATENATE(UPPER(C29)," ",B29," (",D29,")")))</f>
        <v>HABÁŇOVÁ Michaela (KST Blansko)</v>
      </c>
      <c r="F29" s="379">
        <v>999</v>
      </c>
      <c r="G29" s="379">
        <v>2005</v>
      </c>
    </row>
    <row r="30" spans="1:7" x14ac:dyDescent="0.2">
      <c r="A30" s="132">
        <v>29</v>
      </c>
      <c r="B30" s="271" t="s">
        <v>637</v>
      </c>
      <c r="C30" s="271" t="s">
        <v>638</v>
      </c>
      <c r="D30" s="271" t="s">
        <v>636</v>
      </c>
      <c r="E30" s="130" t="str">
        <f>IF(C30="","bye",IF(D30="",CONCATENATE(UPPER(C30)," ",B30),CONCATENATE(UPPER(C30)," ",B30," (",D30,")")))</f>
        <v>DREITS Anastasiia (TTC Koral Tišnov)</v>
      </c>
      <c r="F30" s="379">
        <v>999</v>
      </c>
      <c r="G30" s="379">
        <v>2008</v>
      </c>
    </row>
    <row r="31" spans="1:7" x14ac:dyDescent="0.2">
      <c r="A31" s="132">
        <v>30</v>
      </c>
      <c r="B31" s="271" t="s">
        <v>650</v>
      </c>
      <c r="C31" s="271" t="s">
        <v>692</v>
      </c>
      <c r="D31" s="271" t="s">
        <v>645</v>
      </c>
      <c r="E31" s="130" t="str">
        <f>IF(C31="","bye",IF(D31="",CONCATENATE(UPPER(C31)," ",B31),CONCATENATE(UPPER(C31)," ",B31," (",D31,")")))</f>
        <v>SVOBODA Ondřej (KST Vyškov)</v>
      </c>
      <c r="F31" s="379">
        <v>999</v>
      </c>
      <c r="G31" s="379">
        <v>2006</v>
      </c>
    </row>
    <row r="32" spans="1:7" x14ac:dyDescent="0.2">
      <c r="A32" s="132">
        <v>31</v>
      </c>
      <c r="B32" s="221"/>
      <c r="C32" s="221"/>
      <c r="D32" s="269"/>
      <c r="E32" s="130" t="str">
        <f>IF(C32="","bye",IF(D32="",CONCATENATE(UPPER(C32)," ",B32),CONCATENATE(UPPER(C32)," ",B32," (",D32,")")))</f>
        <v>bye</v>
      </c>
      <c r="F32" s="379"/>
      <c r="G32" s="269"/>
    </row>
    <row r="33" spans="1:7" x14ac:dyDescent="0.2">
      <c r="A33" s="132">
        <v>32</v>
      </c>
      <c r="B33" s="271"/>
      <c r="C33" s="271"/>
      <c r="D33" s="269"/>
      <c r="E33" s="130" t="str">
        <f>IF(C33="","bye",IF(D33="",CONCATENATE(UPPER(C33)," ",B33),CONCATENATE(UPPER(C33)," ",B33," (",D33,")")))</f>
        <v>bye</v>
      </c>
      <c r="F33" s="269"/>
      <c r="G33" s="269"/>
    </row>
    <row r="34" spans="1:7" x14ac:dyDescent="0.2">
      <c r="A34" s="132">
        <v>33</v>
      </c>
      <c r="B34" s="221"/>
      <c r="C34" s="221"/>
      <c r="D34" s="269"/>
      <c r="E34" s="130" t="str">
        <f>IF(C34="","bye",IF(D34="",CONCATENATE(UPPER(C34)," ",B34),CONCATENATE(UPPER(C34)," ",B34," (",D34,")")))</f>
        <v>bye</v>
      </c>
      <c r="F34" s="221"/>
      <c r="G34" s="221"/>
    </row>
    <row r="35" spans="1:7" x14ac:dyDescent="0.2">
      <c r="A35" s="132">
        <v>34</v>
      </c>
      <c r="B35" s="221"/>
      <c r="C35" s="221"/>
      <c r="D35" s="269"/>
      <c r="E35" s="130" t="str">
        <f>IF(C35="","bye",IF(D35="",CONCATENATE(UPPER(C35)," ",B35),CONCATENATE(UPPER(C35)," ",B35," (",D35,")")))</f>
        <v>bye</v>
      </c>
      <c r="F35" s="379"/>
      <c r="G35" s="269"/>
    </row>
    <row r="36" spans="1:7" x14ac:dyDescent="0.2">
      <c r="A36" s="132">
        <v>35</v>
      </c>
      <c r="B36" s="223"/>
      <c r="C36" s="221"/>
      <c r="D36" s="269"/>
      <c r="E36" s="130" t="str">
        <f>IF(C36="","bye",IF(D36="",CONCATENATE(UPPER(C36)," ",B36),CONCATENATE(UPPER(C36)," ",B36," (",D36,")")))</f>
        <v>bye</v>
      </c>
      <c r="F36" s="269"/>
      <c r="G36" s="269"/>
    </row>
    <row r="37" spans="1:7" x14ac:dyDescent="0.2">
      <c r="A37" s="270">
        <v>36</v>
      </c>
      <c r="B37" s="271"/>
      <c r="C37" s="271"/>
      <c r="D37" s="221"/>
      <c r="E37" s="130" t="str">
        <f>IF(C37="","bye",IF(D37="",CONCATENATE(UPPER(C37)," ",B37),CONCATENATE(UPPER(C37)," ",B37," (",D37,")")))</f>
        <v>bye</v>
      </c>
      <c r="F37" s="221"/>
      <c r="G37" s="221"/>
    </row>
    <row r="38" spans="1:7" x14ac:dyDescent="0.2">
      <c r="A38" s="132">
        <v>37</v>
      </c>
      <c r="B38" s="221"/>
      <c r="C38" s="221"/>
      <c r="D38" s="221"/>
      <c r="E38" s="130" t="str">
        <f>IF(C38="","bye",IF(D38="",CONCATENATE(UPPER(C38)," ",B38),CONCATENATE(UPPER(C38)," ",B38," (",D38,")")))</f>
        <v>bye</v>
      </c>
      <c r="F38" s="221"/>
      <c r="G38" s="221"/>
    </row>
    <row r="39" spans="1:7" x14ac:dyDescent="0.2">
      <c r="A39" s="132">
        <v>38</v>
      </c>
      <c r="B39" s="221"/>
      <c r="C39" s="221"/>
      <c r="D39" s="221"/>
      <c r="E39" s="130" t="str">
        <f>IF(C39="","bye",IF(D39="",CONCATENATE(UPPER(C39)," ",B39),CONCATENATE(UPPER(C39)," ",B39," (",D39,")")))</f>
        <v>bye</v>
      </c>
      <c r="F39" s="221"/>
      <c r="G39" s="221"/>
    </row>
    <row r="40" spans="1:7" x14ac:dyDescent="0.2">
      <c r="A40" s="132">
        <v>39</v>
      </c>
      <c r="B40" s="221"/>
      <c r="C40" s="221"/>
      <c r="D40" s="221"/>
      <c r="E40" s="130" t="str">
        <f>IF(C40="","bye",IF(D40="",CONCATENATE(UPPER(C40)," ",B40),CONCATENATE(UPPER(C40)," ",B40," (",D40,")")))</f>
        <v>bye</v>
      </c>
      <c r="F40" s="221"/>
      <c r="G40" s="221"/>
    </row>
    <row r="41" spans="1:7" x14ac:dyDescent="0.2">
      <c r="A41" s="132">
        <v>40</v>
      </c>
      <c r="B41" s="221"/>
      <c r="C41" s="221"/>
      <c r="D41" s="221"/>
      <c r="E41" s="130" t="str">
        <f>IF(C41="","bye",IF(D41="",CONCATENATE(UPPER(C41)," ",B41),CONCATENATE(UPPER(C41)," ",B41," (",D41,")")))</f>
        <v>bye</v>
      </c>
      <c r="F41" s="221"/>
      <c r="G41" s="221"/>
    </row>
    <row r="42" spans="1:7" x14ac:dyDescent="0.2">
      <c r="A42" s="132">
        <v>41</v>
      </c>
      <c r="B42" s="223"/>
      <c r="C42" s="221"/>
      <c r="D42" s="221"/>
      <c r="E42" s="130" t="str">
        <f>IF(C42="","bye",IF(D42="",CONCATENATE(UPPER(C42)," ",B42),CONCATENATE(UPPER(C42)," ",B42," (",D42,")")))</f>
        <v>bye</v>
      </c>
      <c r="F42" s="221"/>
      <c r="G42" s="221"/>
    </row>
    <row r="43" spans="1:7" x14ac:dyDescent="0.2">
      <c r="A43" s="132">
        <v>42</v>
      </c>
      <c r="B43" s="223"/>
      <c r="C43" s="221"/>
      <c r="D43" s="221"/>
      <c r="E43" s="130" t="str">
        <f>IF(C43="","bye",IF(D43="",CONCATENATE(UPPER(C43)," ",B43),CONCATENATE(UPPER(C43)," ",B43," (",D43,")")))</f>
        <v>bye</v>
      </c>
      <c r="F43" s="221"/>
      <c r="G43" s="221"/>
    </row>
    <row r="44" spans="1:7" x14ac:dyDescent="0.2">
      <c r="A44" s="132">
        <v>43</v>
      </c>
      <c r="B44" s="221"/>
      <c r="C44" s="221"/>
      <c r="D44" s="221"/>
      <c r="E44" s="130" t="str">
        <f>IF(C44="","bye",IF(D44="",CONCATENATE(UPPER(C44)," ",B44),CONCATENATE(UPPER(C44)," ",B44," (",D44,")")))</f>
        <v>bye</v>
      </c>
      <c r="F44" s="221"/>
      <c r="G44" s="221"/>
    </row>
    <row r="45" spans="1:7" x14ac:dyDescent="0.2">
      <c r="A45" s="132">
        <v>44</v>
      </c>
      <c r="B45" s="223"/>
      <c r="C45" s="221"/>
      <c r="D45" s="221"/>
      <c r="E45" s="130" t="str">
        <f>IF(C45="","bye",IF(D45="",CONCATENATE(UPPER(C45)," ",B45),CONCATENATE(UPPER(C45)," ",B45," (",D45,")")))</f>
        <v>bye</v>
      </c>
      <c r="F45" s="221"/>
      <c r="G45" s="221"/>
    </row>
    <row r="46" spans="1:7" x14ac:dyDescent="0.2">
      <c r="A46" s="132">
        <v>45</v>
      </c>
      <c r="B46" s="223"/>
      <c r="C46" s="221"/>
      <c r="D46" s="221"/>
      <c r="E46" s="130" t="str">
        <f>IF(C46="","bye",IF(D46="",CONCATENATE(UPPER(C46)," ",B46),CONCATENATE(UPPER(C46)," ",B46," (",D46,")")))</f>
        <v>bye</v>
      </c>
      <c r="F46" s="221"/>
      <c r="G46" s="221"/>
    </row>
    <row r="47" spans="1:7" x14ac:dyDescent="0.2">
      <c r="A47" s="132">
        <v>46</v>
      </c>
      <c r="B47" s="223"/>
      <c r="C47" s="221"/>
      <c r="D47" s="221"/>
      <c r="E47" s="130" t="str">
        <f>IF(C47="","bye",IF(D47="",CONCATENATE(UPPER(C47)," ",B47),CONCATENATE(UPPER(C47)," ",B47," (",D47,")")))</f>
        <v>bye</v>
      </c>
      <c r="F47" s="221"/>
      <c r="G47" s="221"/>
    </row>
    <row r="48" spans="1:7" x14ac:dyDescent="0.2">
      <c r="A48" s="132">
        <v>47</v>
      </c>
      <c r="B48" s="223"/>
      <c r="C48" s="221"/>
      <c r="D48" s="221"/>
      <c r="E48" s="130" t="str">
        <f>IF(C48="","bye",IF(D48="",CONCATENATE(UPPER(C48)," ",B48),CONCATENATE(UPPER(C48)," ",B48," (",D48,")")))</f>
        <v>bye</v>
      </c>
      <c r="F48" s="221"/>
      <c r="G48" s="221"/>
    </row>
    <row r="49" spans="1:7" x14ac:dyDescent="0.2">
      <c r="A49" s="132">
        <v>48</v>
      </c>
      <c r="B49" s="223"/>
      <c r="C49" s="221"/>
      <c r="D49" s="223"/>
      <c r="E49" s="130" t="str">
        <f>IF(C49="","bye",IF(D49="",CONCATENATE(UPPER(C49)," ",B49),CONCATENATE(UPPER(C49)," ",B49," (",D49,")")))</f>
        <v>bye</v>
      </c>
      <c r="F49" s="223"/>
      <c r="G49" s="223"/>
    </row>
    <row r="50" spans="1:7" x14ac:dyDescent="0.2">
      <c r="A50" s="132">
        <v>49</v>
      </c>
      <c r="B50" s="223"/>
      <c r="C50" s="221"/>
      <c r="D50" s="271"/>
      <c r="E50" s="130" t="str">
        <f>IF(C50="","bye",IF(D50="",CONCATENATE(UPPER(C50)," ",B50),CONCATENATE(UPPER(C50)," ",B50," (",D50,")")))</f>
        <v>bye</v>
      </c>
      <c r="F50" s="271"/>
      <c r="G50" s="271"/>
    </row>
    <row r="51" spans="1:7" x14ac:dyDescent="0.2">
      <c r="A51" s="132">
        <v>50</v>
      </c>
      <c r="B51" s="223"/>
      <c r="C51" s="221"/>
      <c r="D51" s="221"/>
      <c r="E51" s="130" t="str">
        <f>IF(C51="","bye",IF(D51="",CONCATENATE(UPPER(C51)," ",B51),CONCATENATE(UPPER(C51)," ",B51," (",D51,")")))</f>
        <v>bye</v>
      </c>
      <c r="F51" s="221"/>
      <c r="G51" s="221"/>
    </row>
    <row r="52" spans="1:7" x14ac:dyDescent="0.2">
      <c r="A52" s="132">
        <v>51</v>
      </c>
      <c r="B52" s="223"/>
      <c r="C52" s="221"/>
      <c r="D52" s="223"/>
      <c r="E52" s="130" t="str">
        <f>IF(C52="","bye",IF(D52="",CONCATENATE(UPPER(C52)," ",B52),CONCATENATE(UPPER(C52)," ",B52," (",D52,")")))</f>
        <v>bye</v>
      </c>
      <c r="F52" s="223"/>
      <c r="G52" s="223"/>
    </row>
    <row r="53" spans="1:7" x14ac:dyDescent="0.2">
      <c r="A53" s="132">
        <v>52</v>
      </c>
      <c r="B53" s="223"/>
      <c r="C53" s="221"/>
      <c r="D53" s="221"/>
      <c r="E53" s="130" t="str">
        <f>IF(C53="","bye",IF(D53="",CONCATENATE(UPPER(C53)," ",B53),CONCATENATE(UPPER(C53)," ",B53," (",D53,")")))</f>
        <v>bye</v>
      </c>
      <c r="F53" s="221"/>
      <c r="G53" s="221"/>
    </row>
    <row r="54" spans="1:7" x14ac:dyDescent="0.2">
      <c r="A54" s="132">
        <v>53</v>
      </c>
      <c r="B54" s="223"/>
      <c r="C54" s="221"/>
      <c r="D54" s="221"/>
      <c r="E54" s="130" t="str">
        <f>IF(C54="","bye",IF(D54="",CONCATENATE(UPPER(C54)," ",B54),CONCATENATE(UPPER(C54)," ",B54," (",D54,")")))</f>
        <v>bye</v>
      </c>
      <c r="F54" s="221"/>
      <c r="G54" s="221"/>
    </row>
    <row r="55" spans="1:7" x14ac:dyDescent="0.2">
      <c r="A55" s="132">
        <v>54</v>
      </c>
      <c r="B55" s="223"/>
      <c r="C55" s="221"/>
      <c r="D55" s="221"/>
      <c r="E55" s="130" t="str">
        <f>IF(C55="","bye",IF(D55="",CONCATENATE(UPPER(C55)," ",B55),CONCATENATE(UPPER(C55)," ",B55," (",D55,")")))</f>
        <v>bye</v>
      </c>
      <c r="F55" s="221"/>
      <c r="G55" s="221"/>
    </row>
    <row r="56" spans="1:7" x14ac:dyDescent="0.2">
      <c r="A56" s="132">
        <v>55</v>
      </c>
      <c r="B56" s="223"/>
      <c r="C56" s="221"/>
      <c r="D56" s="221"/>
      <c r="E56" s="130" t="str">
        <f>IF(C56="","bye",IF(D56="",CONCATENATE(UPPER(C56)," ",B56),CONCATENATE(UPPER(C56)," ",B56," (",D56,")")))</f>
        <v>bye</v>
      </c>
      <c r="F56" s="221"/>
      <c r="G56" s="221"/>
    </row>
    <row r="57" spans="1:7" x14ac:dyDescent="0.2">
      <c r="A57" s="132">
        <v>56</v>
      </c>
      <c r="B57" s="223"/>
      <c r="C57" s="221"/>
      <c r="D57" s="221"/>
      <c r="E57" s="130" t="str">
        <f>IF(C57="","bye",IF(D57="",CONCATENATE(UPPER(C57)," ",B57),CONCATENATE(UPPER(C57)," ",B57," (",D57,")")))</f>
        <v>bye</v>
      </c>
      <c r="F57" s="221"/>
      <c r="G57" s="221"/>
    </row>
    <row r="58" spans="1:7" x14ac:dyDescent="0.2">
      <c r="A58" s="132">
        <v>57</v>
      </c>
      <c r="B58" s="223"/>
      <c r="C58" s="221"/>
      <c r="D58" s="221"/>
      <c r="E58" s="130" t="str">
        <f>IF(C58="","bye",IF(D58="",CONCATENATE(UPPER(C58)," ",B58),CONCATENATE(UPPER(C58)," ",B58," (",D58,")")))</f>
        <v>bye</v>
      </c>
      <c r="F58" s="221"/>
      <c r="G58" s="221"/>
    </row>
    <row r="59" spans="1:7" x14ac:dyDescent="0.2">
      <c r="A59" s="132">
        <v>58</v>
      </c>
      <c r="B59" s="223"/>
      <c r="C59" s="221"/>
      <c r="D59" s="221"/>
      <c r="E59" s="130" t="str">
        <f>IF(C59="","bye",IF(D59="",CONCATENATE(UPPER(C59)," ",B59),CONCATENATE(UPPER(C59)," ",B59," (",D59,")")))</f>
        <v>bye</v>
      </c>
      <c r="F59" s="221"/>
      <c r="G59" s="221"/>
    </row>
    <row r="60" spans="1:7" s="129" customFormat="1" x14ac:dyDescent="0.2">
      <c r="A60" s="132">
        <v>59</v>
      </c>
      <c r="B60" s="223"/>
      <c r="C60" s="221"/>
      <c r="D60" s="223"/>
      <c r="E60" s="130" t="str">
        <f>IF(C60="","bye",IF(D60="",CONCATENATE(UPPER(C60)," ",B60),CONCATENATE(UPPER(C60)," ",B60," (",D60,")")))</f>
        <v>bye</v>
      </c>
      <c r="F60" s="223"/>
      <c r="G60" s="223"/>
    </row>
    <row r="61" spans="1:7" s="129" customFormat="1" x14ac:dyDescent="0.2">
      <c r="A61" s="132">
        <v>60</v>
      </c>
      <c r="B61" s="223"/>
      <c r="C61" s="221"/>
      <c r="D61" s="223"/>
      <c r="E61" s="130" t="str">
        <f>IF(C61="","bye",IF(D61="",CONCATENATE(UPPER(C61)," ",B61),CONCATENATE(UPPER(C61)," ",B61," (",D61,")")))</f>
        <v>bye</v>
      </c>
      <c r="F61" s="223"/>
      <c r="G61" s="223"/>
    </row>
    <row r="62" spans="1:7" s="129" customFormat="1" x14ac:dyDescent="0.2">
      <c r="A62" s="132">
        <v>61</v>
      </c>
      <c r="B62" s="223"/>
      <c r="C62" s="221"/>
      <c r="D62" s="223"/>
      <c r="E62" s="130" t="str">
        <f>IF(C62="","bye",IF(D62="",CONCATENATE(UPPER(C62)," ",B62),CONCATENATE(UPPER(C62)," ",B62," (",D62,")")))</f>
        <v>bye</v>
      </c>
      <c r="F62" s="223"/>
      <c r="G62" s="223"/>
    </row>
    <row r="63" spans="1:7" s="129" customFormat="1" x14ac:dyDescent="0.2">
      <c r="A63" s="132">
        <v>62</v>
      </c>
      <c r="B63" s="223"/>
      <c r="C63" s="221"/>
      <c r="D63" s="223"/>
      <c r="E63" s="130" t="str">
        <f>IF(C63="","bye",IF(D63="",CONCATENATE(UPPER(C63)," ",B63),CONCATENATE(UPPER(C63)," ",B63," (",D63,")")))</f>
        <v>bye</v>
      </c>
      <c r="F63" s="223"/>
      <c r="G63" s="223"/>
    </row>
    <row r="64" spans="1:7" s="129" customFormat="1" x14ac:dyDescent="0.2">
      <c r="A64" s="132">
        <v>63</v>
      </c>
      <c r="B64" s="223"/>
      <c r="C64" s="221"/>
      <c r="D64" s="223"/>
      <c r="E64" s="130" t="str">
        <f>IF(C64="","bye",IF(D64="",CONCATENATE(UPPER(C64)," ",B64),CONCATENATE(UPPER(C64)," ",B64," (",D64,")")))</f>
        <v>bye</v>
      </c>
      <c r="F64" s="223"/>
      <c r="G64" s="223"/>
    </row>
    <row r="65" spans="1:7" s="129" customFormat="1" x14ac:dyDescent="0.2">
      <c r="A65" s="132">
        <v>64</v>
      </c>
      <c r="B65" s="223"/>
      <c r="C65" s="221"/>
      <c r="D65" s="223"/>
      <c r="E65" s="130" t="str">
        <f>IF(C65="","bye",IF(D65="",CONCATENATE(UPPER(C65)," ",B65),CONCATENATE(UPPER(C65)," ",B65," (",D65,")")))</f>
        <v>bye</v>
      </c>
      <c r="F65" s="223"/>
      <c r="G65" s="223"/>
    </row>
    <row r="66" spans="1:7" s="129" customFormat="1" x14ac:dyDescent="0.2">
      <c r="A66" s="132">
        <v>65</v>
      </c>
      <c r="B66" s="223"/>
      <c r="C66" s="221"/>
      <c r="D66" s="223"/>
      <c r="E66" s="130" t="str">
        <f>IF(C66="","bye",IF(D66="",CONCATENATE(UPPER(C66)," ",B66),CONCATENATE(UPPER(C66)," ",B66," (",D66,")")))</f>
        <v>bye</v>
      </c>
      <c r="F66" s="223"/>
      <c r="G66" s="223"/>
    </row>
    <row r="67" spans="1:7" s="129" customFormat="1" x14ac:dyDescent="0.2">
      <c r="A67" s="132">
        <v>66</v>
      </c>
      <c r="B67" s="223"/>
      <c r="C67" s="221"/>
      <c r="D67" s="223"/>
      <c r="E67" s="130" t="str">
        <f>IF(C67="","bye",IF(D67="",CONCATENATE(UPPER(C67)," ",B67),CONCATENATE(UPPER(C67)," ",B67," (",D67,")")))</f>
        <v>bye</v>
      </c>
      <c r="F67" s="223"/>
      <c r="G67" s="223"/>
    </row>
    <row r="68" spans="1:7" s="129" customFormat="1" x14ac:dyDescent="0.2">
      <c r="A68" s="132">
        <v>67</v>
      </c>
      <c r="B68" s="223"/>
      <c r="C68" s="221"/>
      <c r="D68" s="223"/>
      <c r="E68" s="130" t="str">
        <f>IF(C68="","bye",IF(D68="",CONCATENATE(UPPER(C68)," ",B68),CONCATENATE(UPPER(C68)," ",B68," (",D68,")")))</f>
        <v>bye</v>
      </c>
      <c r="F68" s="223"/>
      <c r="G68" s="223"/>
    </row>
    <row r="69" spans="1:7" s="129" customFormat="1" x14ac:dyDescent="0.2">
      <c r="A69" s="132">
        <v>68</v>
      </c>
      <c r="B69" s="223"/>
      <c r="C69" s="221"/>
      <c r="D69" s="223"/>
      <c r="E69" s="130" t="str">
        <f>IF(C69="","bye",IF(D69="",CONCATENATE(UPPER(C69)," ",B69),CONCATENATE(UPPER(C69)," ",B69," (",D69,")")))</f>
        <v>bye</v>
      </c>
      <c r="F69" s="223"/>
      <c r="G69" s="223"/>
    </row>
    <row r="70" spans="1:7" x14ac:dyDescent="0.2">
      <c r="A70" s="131">
        <v>69</v>
      </c>
      <c r="D70" s="224"/>
      <c r="E70" s="130" t="str">
        <f>IF(C70="","bye",IF(D70="",CONCATENATE(UPPER(C70)," ",B70),CONCATENATE(UPPER(C70)," ",B70," (",D70,")")))</f>
        <v>bye</v>
      </c>
      <c r="F70" s="224"/>
      <c r="G70" s="224"/>
    </row>
    <row r="71" spans="1:7" x14ac:dyDescent="0.2">
      <c r="A71" s="131">
        <v>70</v>
      </c>
      <c r="D71" s="224"/>
      <c r="E71" s="130" t="str">
        <f>IF(C71="","bye",IF(D71="",CONCATENATE(UPPER(C71)," ",B71),CONCATENATE(UPPER(C71)," ",B71," (",D71,")")))</f>
        <v>bye</v>
      </c>
      <c r="F71" s="224"/>
      <c r="G71" s="224"/>
    </row>
    <row r="72" spans="1:7" x14ac:dyDescent="0.2">
      <c r="A72" s="131">
        <v>71</v>
      </c>
      <c r="D72" s="224"/>
      <c r="E72" s="130" t="str">
        <f>IF(C72="","bye",IF(D72="",CONCATENATE(UPPER(C72)," ",B72),CONCATENATE(UPPER(C72)," ",B72," (",D72,")")))</f>
        <v>bye</v>
      </c>
      <c r="F72" s="224"/>
      <c r="G72" s="224"/>
    </row>
    <row r="73" spans="1:7" x14ac:dyDescent="0.2">
      <c r="A73" s="131">
        <v>72</v>
      </c>
      <c r="D73" s="224"/>
      <c r="E73" s="130" t="str">
        <f>IF(C73="","bye",IF(D73="",CONCATENATE(UPPER(C73)," ",B73),CONCATENATE(UPPER(C73)," ",B73," (",D73,")")))</f>
        <v>bye</v>
      </c>
      <c r="F73" s="224"/>
      <c r="G73" s="224"/>
    </row>
    <row r="74" spans="1:7" x14ac:dyDescent="0.2">
      <c r="A74" s="131">
        <v>73</v>
      </c>
      <c r="D74" s="224"/>
      <c r="E74" s="130" t="str">
        <f>IF(C74="","bye",IF(D74="",CONCATENATE(UPPER(C74)," ",B74),CONCATENATE(UPPER(C74)," ",B74," (",D74,")")))</f>
        <v>bye</v>
      </c>
      <c r="F74" s="224"/>
      <c r="G74" s="224"/>
    </row>
    <row r="75" spans="1:7" x14ac:dyDescent="0.2">
      <c r="A75" s="131">
        <v>74</v>
      </c>
      <c r="D75" s="224"/>
      <c r="E75" s="130" t="str">
        <f>IF(C75="","bye",IF(D75="",CONCATENATE(UPPER(C75)," ",B75),CONCATENATE(UPPER(C75)," ",B75," (",D75,")")))</f>
        <v>bye</v>
      </c>
      <c r="F75" s="224"/>
      <c r="G75" s="224"/>
    </row>
    <row r="76" spans="1:7" x14ac:dyDescent="0.2">
      <c r="A76" s="131">
        <v>75</v>
      </c>
      <c r="D76" s="224"/>
      <c r="E76" s="130" t="str">
        <f>IF(C76="","bye",IF(D76="",CONCATENATE(UPPER(C76)," ",B76),CONCATENATE(UPPER(C76)," ",B76," (",D76,")")))</f>
        <v>bye</v>
      </c>
      <c r="F76" s="224"/>
      <c r="G76" s="224"/>
    </row>
    <row r="77" spans="1:7" x14ac:dyDescent="0.2">
      <c r="A77" s="131">
        <v>76</v>
      </c>
      <c r="D77" s="224"/>
      <c r="E77" s="130" t="str">
        <f>IF(C77="","bye",IF(D77="",CONCATENATE(UPPER(C77)," ",B77),CONCATENATE(UPPER(C77)," ",B77," (",D77,")")))</f>
        <v>bye</v>
      </c>
      <c r="F77" s="224"/>
      <c r="G77" s="224"/>
    </row>
    <row r="78" spans="1:7" x14ac:dyDescent="0.2">
      <c r="A78" s="131">
        <v>77</v>
      </c>
      <c r="D78" s="224"/>
      <c r="E78" s="130" t="str">
        <f>IF(C78="","bye",IF(D78="",CONCATENATE(UPPER(C78)," ",B78),CONCATENATE(UPPER(C78)," ",B78," (",D78,")")))</f>
        <v>bye</v>
      </c>
      <c r="F78" s="224"/>
      <c r="G78" s="224"/>
    </row>
    <row r="79" spans="1:7" x14ac:dyDescent="0.2">
      <c r="A79" s="131">
        <v>78</v>
      </c>
      <c r="D79" s="224"/>
      <c r="E79" s="130" t="str">
        <f>IF(C79="","bye",IF(D79="",CONCATENATE(UPPER(C79)," ",B79),CONCATENATE(UPPER(C79)," ",B79," (",D79,")")))</f>
        <v>bye</v>
      </c>
      <c r="F79" s="224"/>
      <c r="G79" s="224"/>
    </row>
    <row r="80" spans="1:7" x14ac:dyDescent="0.2">
      <c r="A80" s="131">
        <v>79</v>
      </c>
      <c r="D80" s="224"/>
      <c r="E80" s="130" t="str">
        <f>IF(C80="","bye",IF(D80="",CONCATENATE(UPPER(C80)," ",B80),CONCATENATE(UPPER(C80)," ",B80," (",D80,")")))</f>
        <v>bye</v>
      </c>
      <c r="F80" s="224"/>
      <c r="G80" s="224"/>
    </row>
    <row r="81" spans="1:7" x14ac:dyDescent="0.2">
      <c r="A81" s="131">
        <v>80</v>
      </c>
      <c r="D81" s="224"/>
      <c r="E81" s="130" t="str">
        <f>IF(C81="","bye",IF(D81="",CONCATENATE(UPPER(C81)," ",B81),CONCATENATE(UPPER(C81)," ",B81," (",D81,")")))</f>
        <v>bye</v>
      </c>
      <c r="F81" s="224"/>
      <c r="G81" s="224"/>
    </row>
    <row r="82" spans="1:7" x14ac:dyDescent="0.2">
      <c r="A82" s="131">
        <v>81</v>
      </c>
      <c r="D82" s="224"/>
      <c r="E82" s="130" t="str">
        <f>IF(C82="","bye",IF(D82="",CONCATENATE(UPPER(C82)," ",B82),CONCATENATE(UPPER(C82)," ",B82," (",D82,")")))</f>
        <v>bye</v>
      </c>
      <c r="F82" s="224"/>
      <c r="G82" s="224"/>
    </row>
    <row r="83" spans="1:7" x14ac:dyDescent="0.2">
      <c r="A83" s="131">
        <v>82</v>
      </c>
      <c r="D83" s="224"/>
      <c r="E83" s="130" t="str">
        <f>IF(C83="","bye",IF(D83="",CONCATENATE(UPPER(C83)," ",B83),CONCATENATE(UPPER(C83)," ",B83," (",D83,")")))</f>
        <v>bye</v>
      </c>
      <c r="F83" s="224"/>
      <c r="G83" s="224"/>
    </row>
    <row r="84" spans="1:7" x14ac:dyDescent="0.2">
      <c r="A84" s="131">
        <v>83</v>
      </c>
      <c r="D84" s="224"/>
      <c r="E84" s="130" t="str">
        <f>IF(C84="","bye",IF(D84="",CONCATENATE(UPPER(C84)," ",B84),CONCATENATE(UPPER(C84)," ",B84," (",D84,")")))</f>
        <v>bye</v>
      </c>
      <c r="F84" s="224"/>
      <c r="G84" s="224"/>
    </row>
    <row r="85" spans="1:7" x14ac:dyDescent="0.2">
      <c r="A85" s="131">
        <v>84</v>
      </c>
      <c r="D85" s="224"/>
      <c r="E85" s="130" t="str">
        <f>IF(C85="","bye",IF(D85="",CONCATENATE(UPPER(C85)," ",B85),CONCATENATE(UPPER(C85)," ",B85," (",D85,")")))</f>
        <v>bye</v>
      </c>
      <c r="F85" s="224"/>
      <c r="G85" s="224"/>
    </row>
    <row r="86" spans="1:7" x14ac:dyDescent="0.2">
      <c r="A86" s="131">
        <v>85</v>
      </c>
      <c r="D86" s="224"/>
      <c r="E86" s="130" t="str">
        <f>IF(C86="","bye",IF(D86="",CONCATENATE(UPPER(C86)," ",B86),CONCATENATE(UPPER(C86)," ",B86," (",D86,")")))</f>
        <v>bye</v>
      </c>
      <c r="F86" s="224"/>
      <c r="G86" s="224"/>
    </row>
    <row r="87" spans="1:7" x14ac:dyDescent="0.2">
      <c r="A87" s="131">
        <v>86</v>
      </c>
      <c r="D87" s="224"/>
      <c r="E87" s="130" t="str">
        <f>IF(C87="","bye",IF(D87="",CONCATENATE(UPPER(C87)," ",B87),CONCATENATE(UPPER(C87)," ",B87," (",D87,")")))</f>
        <v>bye</v>
      </c>
      <c r="F87" s="224"/>
      <c r="G87" s="224"/>
    </row>
    <row r="88" spans="1:7" x14ac:dyDescent="0.2">
      <c r="A88" s="131">
        <v>87</v>
      </c>
      <c r="D88" s="224"/>
      <c r="E88" s="130" t="str">
        <f>IF(C88="","bye",IF(D88="",CONCATENATE(UPPER(C88)," ",B88),CONCATENATE(UPPER(C88)," ",B88," (",D88,")")))</f>
        <v>bye</v>
      </c>
      <c r="F88" s="224"/>
      <c r="G88" s="224"/>
    </row>
    <row r="89" spans="1:7" x14ac:dyDescent="0.2">
      <c r="A89" s="131">
        <v>88</v>
      </c>
      <c r="D89" s="224"/>
      <c r="E89" s="130" t="str">
        <f>IF(C89="","bye",IF(D89="",CONCATENATE(UPPER(C89)," ",B89),CONCATENATE(UPPER(C89)," ",B89," (",D89,")")))</f>
        <v>bye</v>
      </c>
      <c r="F89" s="224"/>
      <c r="G89" s="224"/>
    </row>
    <row r="90" spans="1:7" x14ac:dyDescent="0.2">
      <c r="D90" s="224"/>
      <c r="F90" s="224"/>
      <c r="G90" s="224"/>
    </row>
    <row r="91" spans="1:7" x14ac:dyDescent="0.2">
      <c r="D91" s="224"/>
      <c r="F91" s="224"/>
      <c r="G91" s="224"/>
    </row>
    <row r="92" spans="1:7" x14ac:dyDescent="0.2">
      <c r="D92" s="224"/>
      <c r="F92" s="224"/>
      <c r="G92" s="224"/>
    </row>
    <row r="93" spans="1:7" x14ac:dyDescent="0.2">
      <c r="D93" s="224"/>
      <c r="F93" s="224"/>
      <c r="G93" s="224"/>
    </row>
    <row r="200" spans="1:5" x14ac:dyDescent="0.2">
      <c r="A200" s="131">
        <v>999</v>
      </c>
      <c r="E200" s="130" t="s">
        <v>192</v>
      </c>
    </row>
  </sheetData>
  <pageMargins left="0.78740157480314965" right="0.78740157480314965" top="0.98425196850393704" bottom="0.98425196850393704" header="0.51181102362204722" footer="0.51181102362204722"/>
  <pageSetup paperSize="9" scale="111" orientation="portrait" horizontalDpi="300" verticalDpi="300" r:id="rId1"/>
  <headerFooter alignWithMargins="0"/>
  <rowBreaks count="1" manualBreakCount="1">
    <brk id="59" max="3" man="1"/>
  </rowBreaks>
  <colBreaks count="1" manualBreakCount="1">
    <brk id="4" max="5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0C56D-73F5-42B5-B059-ABC72CF3C3CD}">
  <dimension ref="A1:S44"/>
  <sheetViews>
    <sheetView showGridLines="0" view="pageBreakPreview" zoomScaleNormal="100" zoomScaleSheetLayoutView="100" workbookViewId="0">
      <selection activeCell="A2" sqref="A2:O2"/>
    </sheetView>
  </sheetViews>
  <sheetFormatPr defaultRowHeight="12.75" x14ac:dyDescent="0.2"/>
  <cols>
    <col min="1" max="1" width="6.85546875" style="102" customWidth="1"/>
    <col min="2" max="2" width="5.5703125" style="102" bestFit="1" customWidth="1"/>
    <col min="3" max="4" width="23.85546875" style="89" customWidth="1"/>
    <col min="5" max="9" width="6.5703125" style="90" customWidth="1"/>
    <col min="10" max="10" width="9.42578125" style="88" customWidth="1"/>
    <col min="11" max="11" width="5.42578125" style="106" bestFit="1" customWidth="1"/>
    <col min="12" max="12" width="21.140625" style="106" customWidth="1"/>
    <col min="13" max="13" width="15" style="106" customWidth="1"/>
    <col min="14" max="14" width="15" style="90" customWidth="1"/>
    <col min="15" max="15" width="27.140625" style="90" bestFit="1" customWidth="1"/>
    <col min="16" max="18" width="5.7109375" style="90" bestFit="1" customWidth="1"/>
    <col min="19" max="19" width="8.140625" style="88" bestFit="1" customWidth="1"/>
    <col min="20" max="16384" width="9.140625" style="90"/>
  </cols>
  <sheetData>
    <row r="1" spans="1:14" ht="14.45" customHeight="1" x14ac:dyDescent="0.2">
      <c r="A1" s="103" t="s">
        <v>53</v>
      </c>
      <c r="B1" s="100" t="s">
        <v>60</v>
      </c>
      <c r="C1" s="94" t="s">
        <v>96</v>
      </c>
      <c r="D1" s="94" t="s">
        <v>97</v>
      </c>
      <c r="E1" s="93" t="s">
        <v>162</v>
      </c>
      <c r="F1" s="93" t="s">
        <v>163</v>
      </c>
      <c r="G1" s="93" t="s">
        <v>164</v>
      </c>
      <c r="H1" s="93" t="s">
        <v>221</v>
      </c>
      <c r="I1" s="93" t="s">
        <v>220</v>
      </c>
      <c r="J1" s="226" t="s">
        <v>161</v>
      </c>
    </row>
    <row r="2" spans="1:14" ht="23.25" x14ac:dyDescent="0.2">
      <c r="A2" s="317" t="s">
        <v>611</v>
      </c>
      <c r="B2" s="101"/>
      <c r="C2" s="99"/>
      <c r="D2" s="99"/>
      <c r="E2" s="225"/>
      <c r="F2" s="96"/>
      <c r="G2" s="96"/>
      <c r="H2" s="96"/>
      <c r="I2" s="96"/>
      <c r="J2" s="113"/>
    </row>
    <row r="3" spans="1:14" ht="24" thickBot="1" x14ac:dyDescent="0.25">
      <c r="A3" s="429" t="s">
        <v>165</v>
      </c>
      <c r="B3" s="430"/>
      <c r="C3" s="98"/>
      <c r="D3" s="92" t="s">
        <v>166</v>
      </c>
      <c r="E3" s="431"/>
      <c r="F3" s="431"/>
      <c r="G3" s="431"/>
      <c r="H3" s="431"/>
      <c r="I3" s="431"/>
      <c r="J3" s="432"/>
    </row>
    <row r="4" spans="1:14" ht="13.5" thickBot="1" x14ac:dyDescent="0.25"/>
    <row r="5" spans="1:14" ht="14.45" customHeight="1" x14ac:dyDescent="0.2">
      <c r="A5" s="103" t="s">
        <v>53</v>
      </c>
      <c r="B5" s="100" t="s">
        <v>60</v>
      </c>
      <c r="C5" s="94" t="s">
        <v>96</v>
      </c>
      <c r="D5" s="94" t="s">
        <v>97</v>
      </c>
      <c r="E5" s="93" t="s">
        <v>162</v>
      </c>
      <c r="F5" s="93" t="s">
        <v>163</v>
      </c>
      <c r="G5" s="93" t="s">
        <v>164</v>
      </c>
      <c r="H5" s="93" t="s">
        <v>221</v>
      </c>
      <c r="I5" s="93" t="s">
        <v>220</v>
      </c>
      <c r="J5" s="226" t="s">
        <v>161</v>
      </c>
    </row>
    <row r="6" spans="1:14" ht="23.25" x14ac:dyDescent="0.2">
      <c r="A6" s="317" t="s">
        <v>611</v>
      </c>
      <c r="B6" s="101"/>
      <c r="C6" s="99"/>
      <c r="D6" s="99"/>
      <c r="E6" s="96"/>
      <c r="F6" s="96"/>
      <c r="G6" s="96"/>
      <c r="H6" s="96"/>
      <c r="I6" s="96"/>
      <c r="J6" s="113"/>
      <c r="N6" s="227"/>
    </row>
    <row r="7" spans="1:14" ht="24" thickBot="1" x14ac:dyDescent="0.25">
      <c r="A7" s="429" t="s">
        <v>165</v>
      </c>
      <c r="B7" s="430"/>
      <c r="C7" s="98"/>
      <c r="D7" s="92" t="s">
        <v>166</v>
      </c>
      <c r="E7" s="431"/>
      <c r="F7" s="431"/>
      <c r="G7" s="431"/>
      <c r="H7" s="431"/>
      <c r="I7" s="431"/>
      <c r="J7" s="432"/>
    </row>
    <row r="8" spans="1:14" ht="12" customHeight="1" thickBot="1" x14ac:dyDescent="0.25">
      <c r="A8" s="105"/>
    </row>
    <row r="9" spans="1:14" ht="14.45" customHeight="1" x14ac:dyDescent="0.2">
      <c r="A9" s="103" t="s">
        <v>53</v>
      </c>
      <c r="B9" s="100" t="s">
        <v>60</v>
      </c>
      <c r="C9" s="94" t="s">
        <v>96</v>
      </c>
      <c r="D9" s="94" t="s">
        <v>97</v>
      </c>
      <c r="E9" s="93" t="s">
        <v>162</v>
      </c>
      <c r="F9" s="93" t="s">
        <v>163</v>
      </c>
      <c r="G9" s="93" t="s">
        <v>164</v>
      </c>
      <c r="H9" s="93" t="s">
        <v>221</v>
      </c>
      <c r="I9" s="93" t="s">
        <v>220</v>
      </c>
      <c r="J9" s="226" t="s">
        <v>161</v>
      </c>
    </row>
    <row r="10" spans="1:14" ht="23.25" x14ac:dyDescent="0.2">
      <c r="A10" s="317" t="s">
        <v>611</v>
      </c>
      <c r="B10" s="101"/>
      <c r="C10" s="99"/>
      <c r="D10" s="99"/>
      <c r="E10" s="96"/>
      <c r="F10" s="96"/>
      <c r="G10" s="96"/>
      <c r="H10" s="96"/>
      <c r="I10" s="96"/>
      <c r="J10" s="113"/>
    </row>
    <row r="11" spans="1:14" ht="24" thickBot="1" x14ac:dyDescent="0.25">
      <c r="A11" s="429" t="s">
        <v>165</v>
      </c>
      <c r="B11" s="430"/>
      <c r="C11" s="98"/>
      <c r="D11" s="92" t="s">
        <v>166</v>
      </c>
      <c r="E11" s="431"/>
      <c r="F11" s="431"/>
      <c r="G11" s="431"/>
      <c r="H11" s="431"/>
      <c r="I11" s="431"/>
      <c r="J11" s="432"/>
    </row>
    <row r="12" spans="1:14" ht="12" customHeight="1" thickBot="1" x14ac:dyDescent="0.25"/>
    <row r="13" spans="1:14" ht="14.45" customHeight="1" x14ac:dyDescent="0.2">
      <c r="A13" s="103" t="s">
        <v>53</v>
      </c>
      <c r="B13" s="100" t="s">
        <v>60</v>
      </c>
      <c r="C13" s="94" t="s">
        <v>96</v>
      </c>
      <c r="D13" s="94" t="s">
        <v>97</v>
      </c>
      <c r="E13" s="93" t="s">
        <v>162</v>
      </c>
      <c r="F13" s="93" t="s">
        <v>163</v>
      </c>
      <c r="G13" s="93" t="s">
        <v>164</v>
      </c>
      <c r="H13" s="93" t="s">
        <v>221</v>
      </c>
      <c r="I13" s="93" t="s">
        <v>220</v>
      </c>
      <c r="J13" s="226" t="s">
        <v>161</v>
      </c>
    </row>
    <row r="14" spans="1:14" ht="23.25" x14ac:dyDescent="0.2">
      <c r="A14" s="317" t="s">
        <v>611</v>
      </c>
      <c r="B14" s="101"/>
      <c r="C14" s="99"/>
      <c r="D14" s="99"/>
      <c r="E14" s="96"/>
      <c r="F14" s="96"/>
      <c r="G14" s="96"/>
      <c r="H14" s="96"/>
      <c r="I14" s="96"/>
      <c r="J14" s="113"/>
    </row>
    <row r="15" spans="1:14" ht="24" thickBot="1" x14ac:dyDescent="0.25">
      <c r="A15" s="429" t="s">
        <v>165</v>
      </c>
      <c r="B15" s="430"/>
      <c r="C15" s="98"/>
      <c r="D15" s="92" t="s">
        <v>166</v>
      </c>
      <c r="E15" s="431"/>
      <c r="F15" s="431"/>
      <c r="G15" s="431"/>
      <c r="H15" s="431"/>
      <c r="I15" s="431"/>
      <c r="J15" s="432"/>
    </row>
    <row r="16" spans="1:14" ht="12" customHeight="1" x14ac:dyDescent="0.2">
      <c r="A16" s="105"/>
    </row>
    <row r="17" spans="1:19" s="106" customFormat="1" ht="13.5" thickBot="1" x14ac:dyDescent="0.25">
      <c r="A17" s="105"/>
      <c r="B17" s="102"/>
      <c r="C17" s="89"/>
      <c r="D17" s="89"/>
      <c r="E17" s="90"/>
      <c r="F17" s="90"/>
      <c r="G17" s="90"/>
      <c r="H17" s="90"/>
      <c r="I17" s="90"/>
      <c r="J17" s="88"/>
      <c r="N17" s="90"/>
      <c r="O17" s="90"/>
      <c r="P17" s="90"/>
      <c r="Q17" s="90"/>
      <c r="R17" s="90"/>
      <c r="S17" s="88"/>
    </row>
    <row r="18" spans="1:19" s="106" customFormat="1" x14ac:dyDescent="0.2">
      <c r="A18" s="103" t="s">
        <v>53</v>
      </c>
      <c r="B18" s="100" t="s">
        <v>60</v>
      </c>
      <c r="C18" s="94" t="s">
        <v>96</v>
      </c>
      <c r="D18" s="94" t="s">
        <v>97</v>
      </c>
      <c r="E18" s="93" t="s">
        <v>162</v>
      </c>
      <c r="F18" s="93" t="s">
        <v>163</v>
      </c>
      <c r="G18" s="93" t="s">
        <v>164</v>
      </c>
      <c r="H18" s="93" t="s">
        <v>221</v>
      </c>
      <c r="I18" s="93" t="s">
        <v>220</v>
      </c>
      <c r="J18" s="226" t="s">
        <v>161</v>
      </c>
      <c r="N18" s="90"/>
      <c r="O18" s="90"/>
      <c r="P18" s="90"/>
      <c r="Q18" s="90"/>
      <c r="R18" s="90"/>
      <c r="S18" s="88"/>
    </row>
    <row r="19" spans="1:19" s="106" customFormat="1" ht="23.25" x14ac:dyDescent="0.2">
      <c r="A19" s="317" t="str">
        <f>'A-12D-pavouk'!E6</f>
        <v>13-20</v>
      </c>
      <c r="B19" s="101"/>
      <c r="C19" s="99"/>
      <c r="D19" s="99"/>
      <c r="E19" s="96"/>
      <c r="F19" s="96"/>
      <c r="G19" s="96"/>
      <c r="H19" s="96"/>
      <c r="I19" s="96"/>
      <c r="J19" s="113"/>
      <c r="N19" s="90"/>
      <c r="O19" s="90"/>
      <c r="P19" s="90"/>
      <c r="Q19" s="90"/>
      <c r="R19" s="90"/>
      <c r="S19" s="88"/>
    </row>
    <row r="20" spans="1:19" s="106" customFormat="1" ht="24" thickBot="1" x14ac:dyDescent="0.25">
      <c r="A20" s="429" t="s">
        <v>165</v>
      </c>
      <c r="B20" s="430"/>
      <c r="C20" s="98"/>
      <c r="D20" s="92" t="s">
        <v>166</v>
      </c>
      <c r="E20" s="431"/>
      <c r="F20" s="431"/>
      <c r="G20" s="431"/>
      <c r="H20" s="431"/>
      <c r="I20" s="431"/>
      <c r="J20" s="432"/>
      <c r="N20" s="90"/>
      <c r="O20" s="90"/>
      <c r="P20" s="90"/>
      <c r="Q20" s="90"/>
      <c r="R20" s="90"/>
      <c r="S20" s="88"/>
    </row>
    <row r="21" spans="1:19" s="106" customFormat="1" ht="13.5" thickBot="1" x14ac:dyDescent="0.25">
      <c r="A21" s="105"/>
      <c r="B21" s="102"/>
      <c r="C21" s="89"/>
      <c r="D21" s="89"/>
      <c r="E21" s="90"/>
      <c r="F21" s="90"/>
      <c r="G21" s="90"/>
      <c r="H21" s="90"/>
      <c r="I21" s="90"/>
      <c r="J21" s="88"/>
      <c r="N21" s="90"/>
      <c r="O21" s="90"/>
      <c r="P21" s="90"/>
      <c r="Q21" s="90"/>
      <c r="R21" s="90"/>
      <c r="S21" s="88"/>
    </row>
    <row r="22" spans="1:19" s="106" customFormat="1" x14ac:dyDescent="0.2">
      <c r="A22" s="103" t="s">
        <v>53</v>
      </c>
      <c r="B22" s="100" t="s">
        <v>60</v>
      </c>
      <c r="C22" s="94" t="s">
        <v>96</v>
      </c>
      <c r="D22" s="94" t="s">
        <v>97</v>
      </c>
      <c r="E22" s="93" t="s">
        <v>162</v>
      </c>
      <c r="F22" s="93" t="s">
        <v>163</v>
      </c>
      <c r="G22" s="93" t="s">
        <v>164</v>
      </c>
      <c r="H22" s="93" t="s">
        <v>221</v>
      </c>
      <c r="I22" s="93" t="s">
        <v>220</v>
      </c>
      <c r="J22" s="226" t="s">
        <v>161</v>
      </c>
      <c r="N22" s="90"/>
      <c r="O22" s="90"/>
      <c r="P22" s="90"/>
      <c r="Q22" s="90"/>
      <c r="R22" s="90"/>
      <c r="S22" s="88"/>
    </row>
    <row r="23" spans="1:19" s="106" customFormat="1" ht="23.25" x14ac:dyDescent="0.2">
      <c r="A23" s="317" t="str">
        <f>'A-12D-pavouk'!E12</f>
        <v>13-20</v>
      </c>
      <c r="B23" s="101"/>
      <c r="C23" s="99"/>
      <c r="D23" s="99"/>
      <c r="E23" s="96"/>
      <c r="F23" s="96"/>
      <c r="G23" s="96"/>
      <c r="H23" s="96"/>
      <c r="I23" s="96"/>
      <c r="J23" s="113"/>
      <c r="N23" s="90"/>
      <c r="O23" s="90"/>
      <c r="P23" s="90"/>
      <c r="Q23" s="90"/>
      <c r="R23" s="90"/>
      <c r="S23" s="88"/>
    </row>
    <row r="24" spans="1:19" s="106" customFormat="1" ht="24" thickBot="1" x14ac:dyDescent="0.25">
      <c r="A24" s="429" t="s">
        <v>165</v>
      </c>
      <c r="B24" s="430"/>
      <c r="C24" s="98"/>
      <c r="D24" s="92" t="s">
        <v>166</v>
      </c>
      <c r="E24" s="431"/>
      <c r="F24" s="431"/>
      <c r="G24" s="431"/>
      <c r="H24" s="431"/>
      <c r="I24" s="431"/>
      <c r="J24" s="432"/>
      <c r="N24" s="90"/>
      <c r="O24" s="90"/>
      <c r="P24" s="90"/>
      <c r="Q24" s="90"/>
      <c r="R24" s="90"/>
      <c r="S24" s="88"/>
    </row>
    <row r="25" spans="1:19" s="106" customFormat="1" ht="13.5" thickBot="1" x14ac:dyDescent="0.25">
      <c r="A25" s="105"/>
      <c r="B25" s="102"/>
      <c r="C25" s="89"/>
      <c r="D25" s="89"/>
      <c r="E25" s="90"/>
      <c r="F25" s="90"/>
      <c r="G25" s="90"/>
      <c r="H25" s="90"/>
      <c r="I25" s="90"/>
      <c r="J25" s="88"/>
      <c r="N25" s="90"/>
      <c r="O25" s="90"/>
      <c r="P25" s="90"/>
      <c r="Q25" s="90"/>
      <c r="R25" s="90"/>
      <c r="S25" s="88"/>
    </row>
    <row r="26" spans="1:19" s="106" customFormat="1" x14ac:dyDescent="0.2">
      <c r="A26" s="103" t="s">
        <v>53</v>
      </c>
      <c r="B26" s="100" t="s">
        <v>60</v>
      </c>
      <c r="C26" s="94" t="s">
        <v>96</v>
      </c>
      <c r="D26" s="94" t="s">
        <v>97</v>
      </c>
      <c r="E26" s="93" t="s">
        <v>162</v>
      </c>
      <c r="F26" s="93" t="s">
        <v>163</v>
      </c>
      <c r="G26" s="93" t="s">
        <v>164</v>
      </c>
      <c r="H26" s="93" t="s">
        <v>221</v>
      </c>
      <c r="I26" s="93" t="s">
        <v>220</v>
      </c>
      <c r="J26" s="226" t="s">
        <v>161</v>
      </c>
      <c r="N26" s="90"/>
      <c r="O26" s="90"/>
      <c r="P26" s="90"/>
      <c r="Q26" s="90"/>
      <c r="R26" s="90"/>
      <c r="S26" s="88"/>
    </row>
    <row r="27" spans="1:19" s="106" customFormat="1" ht="23.25" x14ac:dyDescent="0.2">
      <c r="A27" s="317" t="str">
        <f>'A-12D-pavouk'!E18</f>
        <v>13-20</v>
      </c>
      <c r="B27" s="101"/>
      <c r="C27" s="99"/>
      <c r="D27" s="99"/>
      <c r="E27" s="96"/>
      <c r="F27" s="96"/>
      <c r="G27" s="96"/>
      <c r="H27" s="96"/>
      <c r="I27" s="96"/>
      <c r="J27" s="113"/>
      <c r="N27" s="90"/>
      <c r="O27" s="90"/>
      <c r="P27" s="90"/>
      <c r="Q27" s="90"/>
      <c r="R27" s="90"/>
      <c r="S27" s="88"/>
    </row>
    <row r="28" spans="1:19" s="106" customFormat="1" ht="24" thickBot="1" x14ac:dyDescent="0.25">
      <c r="A28" s="429" t="s">
        <v>165</v>
      </c>
      <c r="B28" s="430"/>
      <c r="C28" s="98"/>
      <c r="D28" s="92" t="s">
        <v>166</v>
      </c>
      <c r="E28" s="431"/>
      <c r="F28" s="431"/>
      <c r="G28" s="431"/>
      <c r="H28" s="431"/>
      <c r="I28" s="431"/>
      <c r="J28" s="432"/>
      <c r="N28" s="90"/>
      <c r="O28" s="90"/>
      <c r="P28" s="90"/>
      <c r="Q28" s="90"/>
      <c r="R28" s="90"/>
      <c r="S28" s="88"/>
    </row>
    <row r="29" spans="1:19" s="106" customFormat="1" ht="13.5" thickBot="1" x14ac:dyDescent="0.25">
      <c r="A29" s="105"/>
      <c r="B29" s="102"/>
      <c r="C29" s="89"/>
      <c r="D29" s="89"/>
      <c r="E29" s="90"/>
      <c r="F29" s="90"/>
      <c r="G29" s="90"/>
      <c r="H29" s="90"/>
      <c r="I29" s="90"/>
      <c r="J29" s="88"/>
      <c r="N29" s="90"/>
      <c r="O29" s="90"/>
      <c r="P29" s="90"/>
      <c r="Q29" s="90"/>
      <c r="R29" s="90"/>
      <c r="S29" s="88"/>
    </row>
    <row r="30" spans="1:19" s="106" customFormat="1" x14ac:dyDescent="0.2">
      <c r="A30" s="103" t="s">
        <v>53</v>
      </c>
      <c r="B30" s="100" t="s">
        <v>60</v>
      </c>
      <c r="C30" s="94" t="s">
        <v>96</v>
      </c>
      <c r="D30" s="94" t="s">
        <v>97</v>
      </c>
      <c r="E30" s="93" t="s">
        <v>162</v>
      </c>
      <c r="F30" s="93" t="s">
        <v>163</v>
      </c>
      <c r="G30" s="93" t="s">
        <v>164</v>
      </c>
      <c r="H30" s="93" t="s">
        <v>221</v>
      </c>
      <c r="I30" s="93" t="s">
        <v>220</v>
      </c>
      <c r="J30" s="226" t="s">
        <v>161</v>
      </c>
      <c r="N30" s="90"/>
      <c r="O30" s="90"/>
      <c r="P30" s="90"/>
      <c r="Q30" s="90"/>
      <c r="R30" s="90"/>
      <c r="S30" s="88"/>
    </row>
    <row r="31" spans="1:19" s="106" customFormat="1" ht="23.25" x14ac:dyDescent="0.2">
      <c r="A31" s="317" t="str">
        <f>'A-12D-pavouk'!E24</f>
        <v>13-20</v>
      </c>
      <c r="B31" s="101"/>
      <c r="C31" s="99"/>
      <c r="D31" s="99"/>
      <c r="E31" s="96"/>
      <c r="F31" s="96"/>
      <c r="G31" s="96"/>
      <c r="H31" s="96"/>
      <c r="I31" s="96"/>
      <c r="J31" s="113"/>
      <c r="N31" s="90"/>
      <c r="O31" s="90"/>
      <c r="P31" s="90"/>
      <c r="Q31" s="90"/>
      <c r="R31" s="90"/>
      <c r="S31" s="88"/>
    </row>
    <row r="32" spans="1:19" s="106" customFormat="1" ht="24" thickBot="1" x14ac:dyDescent="0.25">
      <c r="A32" s="429" t="s">
        <v>165</v>
      </c>
      <c r="B32" s="430"/>
      <c r="C32" s="98"/>
      <c r="D32" s="92" t="s">
        <v>166</v>
      </c>
      <c r="E32" s="431"/>
      <c r="F32" s="431"/>
      <c r="G32" s="431"/>
      <c r="H32" s="431"/>
      <c r="I32" s="431"/>
      <c r="J32" s="432"/>
      <c r="N32" s="90"/>
      <c r="O32" s="90"/>
      <c r="P32" s="90"/>
      <c r="Q32" s="90"/>
      <c r="R32" s="90"/>
      <c r="S32" s="88"/>
    </row>
    <row r="33" spans="1:19" s="106" customFormat="1" ht="13.5" thickBot="1" x14ac:dyDescent="0.25">
      <c r="A33" s="102"/>
      <c r="B33" s="102"/>
      <c r="C33" s="89"/>
      <c r="D33" s="89"/>
      <c r="E33" s="90"/>
      <c r="F33" s="90"/>
      <c r="G33" s="90"/>
      <c r="H33" s="90"/>
      <c r="I33" s="90"/>
      <c r="J33" s="88"/>
      <c r="N33" s="90"/>
      <c r="O33" s="90"/>
      <c r="P33" s="90"/>
      <c r="Q33" s="90"/>
      <c r="R33" s="90"/>
      <c r="S33" s="88"/>
    </row>
    <row r="34" spans="1:19" s="106" customFormat="1" x14ac:dyDescent="0.2">
      <c r="A34" s="103" t="s">
        <v>53</v>
      </c>
      <c r="B34" s="100" t="s">
        <v>60</v>
      </c>
      <c r="C34" s="94" t="s">
        <v>96</v>
      </c>
      <c r="D34" s="94" t="s">
        <v>97</v>
      </c>
      <c r="E34" s="93" t="s">
        <v>162</v>
      </c>
      <c r="F34" s="93" t="s">
        <v>163</v>
      </c>
      <c r="G34" s="93" t="s">
        <v>164</v>
      </c>
      <c r="H34" s="93" t="s">
        <v>221</v>
      </c>
      <c r="I34" s="93" t="s">
        <v>220</v>
      </c>
      <c r="J34" s="226" t="s">
        <v>161</v>
      </c>
      <c r="N34" s="90"/>
      <c r="O34" s="90"/>
      <c r="P34" s="90"/>
      <c r="Q34" s="90"/>
      <c r="R34" s="90"/>
      <c r="S34" s="88"/>
    </row>
    <row r="35" spans="1:19" s="106" customFormat="1" ht="23.25" x14ac:dyDescent="0.2">
      <c r="A35" s="317" t="str">
        <f>'A-12D-pavouk'!H7</f>
        <v>13-16</v>
      </c>
      <c r="B35" s="101"/>
      <c r="C35" s="99"/>
      <c r="D35" s="99"/>
      <c r="E35" s="96"/>
      <c r="F35" s="96"/>
      <c r="G35" s="96"/>
      <c r="H35" s="96"/>
      <c r="I35" s="96"/>
      <c r="J35" s="113"/>
      <c r="N35" s="90"/>
      <c r="O35" s="90"/>
      <c r="P35" s="90"/>
      <c r="Q35" s="90"/>
      <c r="R35" s="90"/>
      <c r="S35" s="88"/>
    </row>
    <row r="36" spans="1:19" s="106" customFormat="1" ht="24" thickBot="1" x14ac:dyDescent="0.25">
      <c r="A36" s="429" t="s">
        <v>165</v>
      </c>
      <c r="B36" s="430"/>
      <c r="C36" s="98"/>
      <c r="D36" s="92" t="s">
        <v>166</v>
      </c>
      <c r="E36" s="431"/>
      <c r="F36" s="431"/>
      <c r="G36" s="431"/>
      <c r="H36" s="431"/>
      <c r="I36" s="431"/>
      <c r="J36" s="432"/>
      <c r="N36" s="90"/>
      <c r="O36" s="90"/>
      <c r="P36" s="90"/>
      <c r="Q36" s="90"/>
      <c r="R36" s="90"/>
      <c r="S36" s="88"/>
    </row>
    <row r="37" spans="1:19" s="106" customFormat="1" ht="13.5" thickBot="1" x14ac:dyDescent="0.25">
      <c r="A37" s="105"/>
      <c r="B37" s="102"/>
      <c r="C37" s="89"/>
      <c r="D37" s="89"/>
      <c r="E37" s="90"/>
      <c r="F37" s="90"/>
      <c r="G37" s="90"/>
      <c r="H37" s="90"/>
      <c r="I37" s="90"/>
      <c r="J37" s="88"/>
      <c r="N37" s="90"/>
      <c r="O37" s="90"/>
      <c r="P37" s="90"/>
      <c r="Q37" s="90"/>
      <c r="R37" s="90"/>
      <c r="S37" s="88"/>
    </row>
    <row r="38" spans="1:19" s="106" customFormat="1" x14ac:dyDescent="0.2">
      <c r="A38" s="103" t="s">
        <v>53</v>
      </c>
      <c r="B38" s="100" t="s">
        <v>60</v>
      </c>
      <c r="C38" s="94" t="s">
        <v>96</v>
      </c>
      <c r="D38" s="94" t="s">
        <v>97</v>
      </c>
      <c r="E38" s="93" t="s">
        <v>162</v>
      </c>
      <c r="F38" s="93" t="s">
        <v>163</v>
      </c>
      <c r="G38" s="93" t="s">
        <v>164</v>
      </c>
      <c r="H38" s="93" t="s">
        <v>221</v>
      </c>
      <c r="I38" s="93" t="s">
        <v>220</v>
      </c>
      <c r="J38" s="226" t="s">
        <v>161</v>
      </c>
      <c r="N38" s="90"/>
      <c r="O38" s="90"/>
      <c r="P38" s="90"/>
      <c r="Q38" s="90"/>
      <c r="R38" s="90"/>
      <c r="S38" s="88"/>
    </row>
    <row r="39" spans="1:19" s="106" customFormat="1" ht="23.25" x14ac:dyDescent="0.2">
      <c r="A39" s="317" t="str">
        <f>'A-12D-pavouk'!H19</f>
        <v>13-16</v>
      </c>
      <c r="B39" s="101"/>
      <c r="C39" s="99"/>
      <c r="D39" s="99"/>
      <c r="E39" s="225"/>
      <c r="F39" s="96"/>
      <c r="G39" s="96"/>
      <c r="H39" s="96"/>
      <c r="I39" s="96"/>
      <c r="J39" s="113"/>
      <c r="N39" s="90"/>
      <c r="O39" s="90"/>
      <c r="P39" s="90"/>
      <c r="Q39" s="90"/>
      <c r="R39" s="90"/>
      <c r="S39" s="88"/>
    </row>
    <row r="40" spans="1:19" s="106" customFormat="1" ht="24" thickBot="1" x14ac:dyDescent="0.25">
      <c r="A40" s="429" t="s">
        <v>165</v>
      </c>
      <c r="B40" s="430"/>
      <c r="C40" s="98"/>
      <c r="D40" s="92" t="s">
        <v>166</v>
      </c>
      <c r="E40" s="431"/>
      <c r="F40" s="431"/>
      <c r="G40" s="431"/>
      <c r="H40" s="431"/>
      <c r="I40" s="431"/>
      <c r="J40" s="432"/>
      <c r="N40" s="90"/>
      <c r="O40" s="90"/>
      <c r="P40" s="90"/>
      <c r="Q40" s="90"/>
      <c r="R40" s="90"/>
      <c r="S40" s="88"/>
    </row>
    <row r="41" spans="1:19" s="106" customFormat="1" ht="12" customHeight="1" thickBot="1" x14ac:dyDescent="0.25">
      <c r="A41" s="105"/>
      <c r="B41" s="102"/>
      <c r="C41" s="89"/>
      <c r="D41" s="89"/>
      <c r="E41" s="90"/>
      <c r="F41" s="90"/>
      <c r="G41" s="90"/>
      <c r="H41" s="90"/>
      <c r="I41" s="90"/>
      <c r="J41" s="88"/>
      <c r="N41" s="90"/>
      <c r="O41" s="90"/>
      <c r="P41" s="90"/>
      <c r="Q41" s="90"/>
      <c r="R41" s="90"/>
      <c r="S41" s="88"/>
    </row>
    <row r="42" spans="1:19" s="106" customFormat="1" x14ac:dyDescent="0.2">
      <c r="A42" s="103" t="s">
        <v>53</v>
      </c>
      <c r="B42" s="100" t="s">
        <v>60</v>
      </c>
      <c r="C42" s="94" t="s">
        <v>96</v>
      </c>
      <c r="D42" s="94" t="s">
        <v>97</v>
      </c>
      <c r="E42" s="93" t="s">
        <v>162</v>
      </c>
      <c r="F42" s="93" t="s">
        <v>163</v>
      </c>
      <c r="G42" s="93" t="s">
        <v>164</v>
      </c>
      <c r="H42" s="93" t="s">
        <v>221</v>
      </c>
      <c r="I42" s="93" t="s">
        <v>220</v>
      </c>
      <c r="J42" s="226" t="s">
        <v>161</v>
      </c>
      <c r="N42" s="90"/>
      <c r="O42" s="90"/>
      <c r="P42" s="90"/>
      <c r="Q42" s="90"/>
      <c r="R42" s="90"/>
      <c r="S42" s="88"/>
    </row>
    <row r="43" spans="1:19" s="106" customFormat="1" ht="23.25" x14ac:dyDescent="0.2">
      <c r="A43" s="317" t="str">
        <f>'A-12D-pavouk'!K10</f>
        <v>13-14</v>
      </c>
      <c r="B43" s="101"/>
      <c r="C43" s="99"/>
      <c r="D43" s="99"/>
      <c r="E43" s="225"/>
      <c r="F43" s="96"/>
      <c r="G43" s="96"/>
      <c r="H43" s="96"/>
      <c r="I43" s="96"/>
      <c r="J43" s="113"/>
      <c r="N43" s="90"/>
      <c r="O43" s="90"/>
      <c r="P43" s="90"/>
      <c r="Q43" s="90"/>
      <c r="R43" s="90"/>
      <c r="S43" s="88"/>
    </row>
    <row r="44" spans="1:19" s="106" customFormat="1" ht="24" thickBot="1" x14ac:dyDescent="0.25">
      <c r="A44" s="429" t="s">
        <v>165</v>
      </c>
      <c r="B44" s="430"/>
      <c r="C44" s="98"/>
      <c r="D44" s="92" t="s">
        <v>166</v>
      </c>
      <c r="E44" s="431"/>
      <c r="F44" s="431"/>
      <c r="G44" s="431"/>
      <c r="H44" s="431"/>
      <c r="I44" s="431"/>
      <c r="J44" s="432"/>
      <c r="N44" s="90"/>
      <c r="O44" s="90"/>
      <c r="P44" s="90"/>
      <c r="Q44" s="90"/>
      <c r="R44" s="90"/>
      <c r="S44" s="88"/>
    </row>
  </sheetData>
  <mergeCells count="22">
    <mergeCell ref="A36:B36"/>
    <mergeCell ref="E36:J36"/>
    <mergeCell ref="A40:B40"/>
    <mergeCell ref="E40:J40"/>
    <mergeCell ref="A44:B44"/>
    <mergeCell ref="E44:J44"/>
    <mergeCell ref="A24:B24"/>
    <mergeCell ref="E24:J24"/>
    <mergeCell ref="A28:B28"/>
    <mergeCell ref="E28:J28"/>
    <mergeCell ref="A32:B32"/>
    <mergeCell ref="E32:J32"/>
    <mergeCell ref="A20:B20"/>
    <mergeCell ref="E20:J20"/>
    <mergeCell ref="A15:B15"/>
    <mergeCell ref="E15:J15"/>
    <mergeCell ref="A3:B3"/>
    <mergeCell ref="E3:J3"/>
    <mergeCell ref="A7:B7"/>
    <mergeCell ref="E7:J7"/>
    <mergeCell ref="A11:B11"/>
    <mergeCell ref="E11:J11"/>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ECBE4-82D6-4557-A54C-45A2B72BDEAE}">
  <dimension ref="A1:Q29"/>
  <sheetViews>
    <sheetView tabSelected="1" view="pageBreakPreview" zoomScaleNormal="115" zoomScaleSheetLayoutView="100" workbookViewId="0">
      <pane ySplit="4" topLeftCell="A5" activePane="bottomLeft" state="frozen"/>
      <selection activeCell="H5" sqref="H5:J5"/>
      <selection pane="bottomLeft" activeCell="O18" sqref="O18"/>
    </sheetView>
  </sheetViews>
  <sheetFormatPr defaultRowHeight="12.75" x14ac:dyDescent="0.2"/>
  <cols>
    <col min="1" max="1" width="4" bestFit="1" customWidth="1"/>
    <col min="2" max="2" width="5" bestFit="1" customWidth="1"/>
    <col min="3" max="3" width="29" bestFit="1" customWidth="1"/>
    <col min="4" max="4" width="3.7109375" customWidth="1"/>
    <col min="5" max="5" width="5" bestFit="1" customWidth="1"/>
    <col min="6" max="6" width="29" bestFit="1" customWidth="1"/>
    <col min="7" max="7" width="3.7109375" customWidth="1"/>
    <col min="8" max="8" width="5" bestFit="1" customWidth="1"/>
    <col min="9" max="9" width="29" bestFit="1" customWidth="1"/>
    <col min="10" max="10" width="3.7109375" customWidth="1"/>
    <col min="11" max="11" width="5" bestFit="1" customWidth="1"/>
    <col min="12" max="12" width="29" bestFit="1" customWidth="1"/>
    <col min="13" max="14" width="3.7109375" customWidth="1"/>
    <col min="15" max="15" width="29" bestFit="1" customWidth="1"/>
    <col min="16" max="16" width="3.7109375" customWidth="1"/>
    <col min="17" max="17" width="24.7109375" customWidth="1"/>
    <col min="18" max="18" width="3.7109375" customWidth="1"/>
  </cols>
  <sheetData>
    <row r="1" spans="1:17" ht="15" x14ac:dyDescent="0.2">
      <c r="A1" s="433" t="s">
        <v>682</v>
      </c>
      <c r="B1" s="433"/>
      <c r="C1" s="433"/>
      <c r="D1" s="433"/>
      <c r="E1" s="433"/>
      <c r="F1" s="433"/>
      <c r="G1" s="433"/>
      <c r="H1" s="433"/>
      <c r="I1" s="433"/>
      <c r="J1" s="433"/>
      <c r="K1" s="433"/>
      <c r="L1" s="433"/>
      <c r="M1" s="433"/>
      <c r="N1" s="433"/>
      <c r="O1" s="433"/>
      <c r="P1" s="310"/>
      <c r="Q1" s="310"/>
    </row>
    <row r="2" spans="1:17" ht="15" x14ac:dyDescent="0.2">
      <c r="A2" s="433" t="s">
        <v>672</v>
      </c>
      <c r="B2" s="433"/>
      <c r="C2" s="433"/>
      <c r="D2" s="433"/>
      <c r="E2" s="433"/>
      <c r="F2" s="433"/>
      <c r="G2" s="433"/>
      <c r="H2" s="433"/>
      <c r="I2" s="433"/>
      <c r="J2" s="433"/>
      <c r="K2" s="433"/>
      <c r="L2" s="433"/>
      <c r="M2" s="433"/>
      <c r="N2" s="433"/>
      <c r="O2" s="433"/>
      <c r="P2" s="310"/>
      <c r="Q2" s="310"/>
    </row>
    <row r="3" spans="1:17" ht="15" x14ac:dyDescent="0.2">
      <c r="A3" s="325"/>
      <c r="B3" s="325"/>
      <c r="C3" s="325"/>
      <c r="D3" s="325"/>
      <c r="E3" s="325"/>
      <c r="F3" s="325"/>
      <c r="G3" s="325"/>
      <c r="H3" s="325"/>
      <c r="I3" s="325"/>
      <c r="J3" s="325"/>
      <c r="K3" s="325"/>
      <c r="L3" s="325"/>
      <c r="M3" s="325"/>
      <c r="N3" s="325"/>
      <c r="O3" s="325"/>
      <c r="P3" s="310"/>
      <c r="Q3" s="310"/>
    </row>
    <row r="4" spans="1:17" x14ac:dyDescent="0.2">
      <c r="A4" s="434" t="s">
        <v>223</v>
      </c>
      <c r="B4" s="434"/>
      <c r="C4" s="434"/>
      <c r="D4" s="434"/>
      <c r="E4" s="435" t="s">
        <v>226</v>
      </c>
      <c r="F4" s="435"/>
      <c r="G4" s="435"/>
      <c r="H4" s="435" t="s">
        <v>227</v>
      </c>
      <c r="I4" s="435"/>
      <c r="J4" s="435"/>
      <c r="K4" s="435" t="s">
        <v>225</v>
      </c>
      <c r="L4" s="435"/>
      <c r="M4" s="435"/>
      <c r="N4" s="435" t="s">
        <v>224</v>
      </c>
      <c r="O4" s="435"/>
      <c r="Q4" s="326"/>
    </row>
    <row r="5" spans="1:17" x14ac:dyDescent="0.2">
      <c r="A5" s="273" t="s">
        <v>518</v>
      </c>
      <c r="B5" s="279">
        <v>1</v>
      </c>
      <c r="C5" s="210" t="str">
        <f>IF(B5="","",VLOOKUP(B5,prezentace!A$2:E$200,5))</f>
        <v>GRABOVSKÝ Jaroslav (SKST Hodonín)</v>
      </c>
      <c r="D5" s="283">
        <v>3</v>
      </c>
      <c r="E5" s="297"/>
      <c r="F5" s="296"/>
      <c r="G5" s="285"/>
      <c r="H5" s="297"/>
      <c r="I5" s="296"/>
      <c r="J5" s="285"/>
      <c r="K5" s="297"/>
      <c r="L5" s="296"/>
      <c r="M5" s="291"/>
      <c r="N5" s="308"/>
      <c r="O5" s="296"/>
    </row>
    <row r="6" spans="1:17" x14ac:dyDescent="0.2">
      <c r="A6" s="277"/>
      <c r="B6" s="280">
        <v>21</v>
      </c>
      <c r="C6" s="212" t="str">
        <f>IF(B6="","",VLOOKUP(B6,prezentace!A$2:E$200,5))</f>
        <v>VINCENEC Oliver (KST Vyškov)</v>
      </c>
      <c r="D6" s="284">
        <v>0</v>
      </c>
      <c r="E6" s="292" t="s">
        <v>110</v>
      </c>
      <c r="F6" s="304" t="str">
        <f>IF(COUNTBLANK(D5:D6)&gt;0,"",IF(D5&gt;D6,C5,C6))</f>
        <v>GRABOVSKÝ Jaroslav (SKST Hodonín)</v>
      </c>
      <c r="G6" s="283">
        <v>3</v>
      </c>
      <c r="H6" s="297"/>
      <c r="I6" s="296"/>
      <c r="J6" s="285"/>
      <c r="K6" s="297"/>
      <c r="L6" s="296"/>
      <c r="M6" s="291"/>
      <c r="N6" s="308"/>
      <c r="O6" s="296"/>
    </row>
    <row r="7" spans="1:17" x14ac:dyDescent="0.2">
      <c r="A7" s="213"/>
      <c r="B7" s="281"/>
      <c r="C7" s="211"/>
      <c r="D7" s="285"/>
      <c r="E7" s="297"/>
      <c r="F7" s="296" t="s">
        <v>713</v>
      </c>
      <c r="G7" s="287"/>
      <c r="H7" s="327" t="s">
        <v>315</v>
      </c>
      <c r="I7" s="304" t="str">
        <f>IF(COUNTBLANK(G6:G8)&gt;1,"",IF(G6&gt;G8,F6,F8))</f>
        <v>GRABOVSKÝ Jaroslav (SKST Hodonín)</v>
      </c>
      <c r="J7" s="283">
        <v>3</v>
      </c>
      <c r="K7" s="297"/>
      <c r="L7" s="296"/>
      <c r="M7" s="285"/>
      <c r="N7" s="297"/>
      <c r="O7" s="296"/>
    </row>
    <row r="8" spans="1:17" x14ac:dyDescent="0.2">
      <c r="A8" s="273"/>
      <c r="B8" s="279">
        <v>7</v>
      </c>
      <c r="C8" s="210" t="str">
        <f>IF(B8="","",VLOOKUP(B8,prezentace!A$2:E$200,5))</f>
        <v>POKORNÝ Martin (KST Blansko)</v>
      </c>
      <c r="D8" s="283">
        <v>0</v>
      </c>
      <c r="E8" s="293" t="s">
        <v>110</v>
      </c>
      <c r="F8" s="305" t="str">
        <f>IF(COUNTBLANK(D8:D9)&gt;0,"",IF(D8&gt;D9,C8,C9))</f>
        <v>DOFEK David (KST Vyškov)</v>
      </c>
      <c r="G8" s="284">
        <v>1</v>
      </c>
      <c r="H8" s="328"/>
      <c r="I8" s="296" t="s">
        <v>722</v>
      </c>
      <c r="J8" s="287"/>
      <c r="K8" s="297"/>
      <c r="L8" s="296"/>
      <c r="M8" s="291"/>
      <c r="N8" s="308"/>
      <c r="O8" s="296"/>
    </row>
    <row r="9" spans="1:17" x14ac:dyDescent="0.2">
      <c r="A9" s="277" t="s">
        <v>614</v>
      </c>
      <c r="B9" s="280">
        <v>8</v>
      </c>
      <c r="C9" s="212" t="str">
        <f>IF(B9="","",VLOOKUP(B9,prezentace!A$2:E$200,5))</f>
        <v>DOFEK David (KST Vyškov)</v>
      </c>
      <c r="D9" s="284">
        <v>3</v>
      </c>
      <c r="E9" s="297"/>
      <c r="F9" s="296" t="s">
        <v>710</v>
      </c>
      <c r="G9" s="285"/>
      <c r="H9" s="297"/>
      <c r="I9" s="296"/>
      <c r="J9" s="287"/>
      <c r="K9" s="297"/>
      <c r="L9" s="296"/>
      <c r="M9" s="291"/>
      <c r="N9" s="308"/>
      <c r="O9" s="296"/>
    </row>
    <row r="10" spans="1:17" x14ac:dyDescent="0.2">
      <c r="A10" s="213"/>
      <c r="B10" s="281"/>
      <c r="C10" s="211"/>
      <c r="D10" s="285"/>
      <c r="E10" s="297"/>
      <c r="F10" s="296"/>
      <c r="G10" s="285"/>
      <c r="H10" s="297"/>
      <c r="I10" s="296"/>
      <c r="J10" s="287"/>
      <c r="K10" s="327" t="s">
        <v>319</v>
      </c>
      <c r="L10" s="304" t="str">
        <f>IF(COUNTBLANK(J7:J13)&gt;5,"",IF(J7&gt;J13,I7,I13))</f>
        <v>GRABOVSKÝ Jaroslav (SKST Hodonín)</v>
      </c>
      <c r="M10" s="283">
        <v>3</v>
      </c>
      <c r="N10" s="297"/>
      <c r="O10" s="296"/>
    </row>
    <row r="11" spans="1:17" x14ac:dyDescent="0.2">
      <c r="A11" s="273" t="s">
        <v>601</v>
      </c>
      <c r="B11" s="279">
        <v>5</v>
      </c>
      <c r="C11" s="210" t="str">
        <f>IF(B11="","",VLOOKUP(B11,prezentace!A$2:E$200,5))</f>
        <v>KRIŠTOF Lukáš (TTC Koral Tišnov)</v>
      </c>
      <c r="D11" s="283">
        <v>3</v>
      </c>
      <c r="E11" s="297"/>
      <c r="F11" s="296"/>
      <c r="G11" s="285"/>
      <c r="H11" s="297"/>
      <c r="I11" s="296"/>
      <c r="J11" s="287"/>
      <c r="K11" s="328"/>
      <c r="L11" s="296" t="s">
        <v>727</v>
      </c>
      <c r="M11" s="289"/>
      <c r="N11" s="308"/>
      <c r="O11" s="296"/>
    </row>
    <row r="12" spans="1:17" x14ac:dyDescent="0.2">
      <c r="A12" s="277"/>
      <c r="B12" s="280">
        <v>18</v>
      </c>
      <c r="C12" s="212" t="str">
        <f>IF(B12="","",VLOOKUP(B12,prezentace!A$2:E$200,5))</f>
        <v>HORNÍČEK Lukáš (TTC MS Brno)</v>
      </c>
      <c r="D12" s="284">
        <v>0</v>
      </c>
      <c r="E12" s="292" t="s">
        <v>110</v>
      </c>
      <c r="F12" s="304" t="str">
        <f>IF(COUNTBLANK(D11:D12)&gt;0,"",IF(D11&gt;D12,C11,C12))</f>
        <v>KRIŠTOF Lukáš (TTC Koral Tišnov)</v>
      </c>
      <c r="G12" s="283">
        <v>3</v>
      </c>
      <c r="H12" s="328"/>
      <c r="I12" s="296"/>
      <c r="J12" s="287"/>
      <c r="K12" s="297"/>
      <c r="L12" s="296"/>
      <c r="M12" s="289"/>
      <c r="N12" s="308"/>
      <c r="O12" s="296"/>
    </row>
    <row r="13" spans="1:17" x14ac:dyDescent="0.2">
      <c r="A13" s="213"/>
      <c r="B13" s="281"/>
      <c r="C13" s="211"/>
      <c r="D13" s="285"/>
      <c r="E13" s="297"/>
      <c r="F13" s="296" t="s">
        <v>711</v>
      </c>
      <c r="G13" s="287"/>
      <c r="H13" s="329" t="s">
        <v>315</v>
      </c>
      <c r="I13" s="305" t="str">
        <f>IF(COUNTBLANK(G12:G14)&gt;1,"",IF(G12&gt;G14,F12,F14))</f>
        <v>KRIŠTOF Lukáš (TTC Koral Tišnov)</v>
      </c>
      <c r="J13" s="284">
        <v>0</v>
      </c>
      <c r="K13" s="297"/>
      <c r="L13" s="303"/>
      <c r="M13" s="287"/>
      <c r="N13" s="297"/>
      <c r="O13" s="296"/>
    </row>
    <row r="14" spans="1:17" x14ac:dyDescent="0.2">
      <c r="A14" s="273"/>
      <c r="B14" s="279">
        <v>29</v>
      </c>
      <c r="C14" s="210" t="str">
        <f>IF(B14="","",VLOOKUP(B14,prezentace!A$2:E$200,5))</f>
        <v>DREITS Anastasiia (TTC Koral Tišnov)</v>
      </c>
      <c r="D14" s="283">
        <v>1</v>
      </c>
      <c r="E14" s="293" t="s">
        <v>110</v>
      </c>
      <c r="F14" s="305" t="str">
        <f>IF(COUNTBLANK(D14:D15)&gt;0,"",IF(D14&gt;D15,C14,C15))</f>
        <v>LUSKA Petr (KST Vyškov)</v>
      </c>
      <c r="G14" s="284">
        <v>1</v>
      </c>
      <c r="H14" s="297"/>
      <c r="I14" s="296" t="s">
        <v>724</v>
      </c>
      <c r="J14" s="285"/>
      <c r="K14" s="297"/>
      <c r="L14" s="296"/>
      <c r="M14" s="289"/>
      <c r="N14" s="308"/>
      <c r="O14" s="296"/>
    </row>
    <row r="15" spans="1:17" x14ac:dyDescent="0.2">
      <c r="A15" s="277" t="s">
        <v>536</v>
      </c>
      <c r="B15" s="280">
        <v>10</v>
      </c>
      <c r="C15" s="212" t="str">
        <f>IF(B15="","",VLOOKUP(B15,prezentace!A$2:E$200,5))</f>
        <v>LUSKA Petr (KST Vyškov)</v>
      </c>
      <c r="D15" s="284">
        <v>3</v>
      </c>
      <c r="E15" s="297"/>
      <c r="F15" s="296" t="s">
        <v>712</v>
      </c>
      <c r="G15" s="285"/>
      <c r="H15" s="297"/>
      <c r="I15" s="296"/>
      <c r="J15" s="285"/>
      <c r="K15" s="297"/>
      <c r="L15" s="296"/>
      <c r="M15" s="290"/>
      <c r="N15" s="309"/>
      <c r="O15" s="296"/>
    </row>
    <row r="16" spans="1:17" x14ac:dyDescent="0.2">
      <c r="A16" s="215"/>
      <c r="B16" s="282"/>
      <c r="C16" s="211"/>
      <c r="D16" s="285"/>
      <c r="E16" s="297"/>
      <c r="F16" s="296"/>
      <c r="G16" s="285"/>
      <c r="H16" s="297"/>
      <c r="I16" s="296"/>
      <c r="J16" s="285"/>
      <c r="K16" s="297"/>
      <c r="L16" s="296"/>
      <c r="M16" s="290"/>
      <c r="N16" s="298" t="s">
        <v>320</v>
      </c>
      <c r="O16" s="299" t="str">
        <f>IF(COUNTBLANK(M10:M22)&gt;11,"",IF(M10&gt;M22,L10,L22))</f>
        <v>GRABOVSKÝ Jaroslav (SKST Hodonín)</v>
      </c>
    </row>
    <row r="17" spans="1:17" x14ac:dyDescent="0.2">
      <c r="A17" s="273" t="s">
        <v>530</v>
      </c>
      <c r="B17" s="279">
        <v>3</v>
      </c>
      <c r="C17" s="210" t="str">
        <f>IF(B17="","",VLOOKUP(B17,prezentace!A$2:E$200,5))</f>
        <v>MASOPUSTOVÁ Lucie (MSK Břeclav)</v>
      </c>
      <c r="D17" s="283">
        <v>2</v>
      </c>
      <c r="E17" s="297"/>
      <c r="F17" s="296"/>
      <c r="G17" s="285"/>
      <c r="H17" s="297"/>
      <c r="I17" s="296"/>
      <c r="J17" s="285"/>
      <c r="K17" s="297"/>
      <c r="L17" s="296"/>
      <c r="M17" s="289"/>
      <c r="N17" s="308"/>
      <c r="O17" s="296" t="s">
        <v>731</v>
      </c>
    </row>
    <row r="18" spans="1:17" x14ac:dyDescent="0.2">
      <c r="A18" s="277"/>
      <c r="B18" s="280">
        <v>9</v>
      </c>
      <c r="C18" s="212" t="str">
        <f>IF(B18="","",VLOOKUP(B18,prezentace!A$2:E$200,5))</f>
        <v>CHALÚPEK Filip (TTC MS Brno)</v>
      </c>
      <c r="D18" s="284">
        <v>3</v>
      </c>
      <c r="E18" s="292" t="s">
        <v>110</v>
      </c>
      <c r="F18" s="304" t="str">
        <f>IF(COUNTBLANK(D17:D18)&gt;0,"",IF(D17&gt;D18,C17,C18))</f>
        <v>CHALÚPEK Filip (TTC MS Brno)</v>
      </c>
      <c r="G18" s="283">
        <v>0</v>
      </c>
      <c r="H18" s="297"/>
      <c r="I18" s="296"/>
      <c r="J18" s="285"/>
      <c r="K18" s="297"/>
      <c r="L18" s="296"/>
      <c r="M18" s="289"/>
      <c r="N18" s="308"/>
      <c r="O18" s="296"/>
    </row>
    <row r="19" spans="1:17" x14ac:dyDescent="0.2">
      <c r="A19" s="213"/>
      <c r="B19" s="281"/>
      <c r="C19" s="211"/>
      <c r="D19" s="285"/>
      <c r="E19" s="297"/>
      <c r="F19" s="296" t="s">
        <v>715</v>
      </c>
      <c r="G19" s="287"/>
      <c r="H19" s="327" t="s">
        <v>315</v>
      </c>
      <c r="I19" s="304" t="str">
        <f>IF(COUNTBLANK(G18:G20)&gt;1,"",IF(G18&gt;G20,F18,F20))</f>
        <v>BUK Lukáš (TTC MS Brno)</v>
      </c>
      <c r="J19" s="283">
        <v>3</v>
      </c>
      <c r="K19" s="297"/>
      <c r="L19" s="296"/>
      <c r="M19" s="287"/>
      <c r="N19" s="297"/>
      <c r="O19" s="296"/>
    </row>
    <row r="20" spans="1:17" x14ac:dyDescent="0.2">
      <c r="A20" s="273"/>
      <c r="B20" s="279">
        <v>17</v>
      </c>
      <c r="C20" s="210" t="str">
        <f>IF(B20="","",VLOOKUP(B20,prezentace!A$2:E$200,5))</f>
        <v>PAŘÍZEK Richard (SKST Hodonín)</v>
      </c>
      <c r="D20" s="283">
        <v>2</v>
      </c>
      <c r="E20" s="293" t="s">
        <v>110</v>
      </c>
      <c r="F20" s="305" t="str">
        <f>IF(COUNTBLANK(D20:D21)&gt;0,"",IF(D20&gt;D21,C20,C21))</f>
        <v>BUK Lukáš (TTC MS Brno)</v>
      </c>
      <c r="G20" s="284">
        <v>3</v>
      </c>
      <c r="H20" s="328"/>
      <c r="I20" s="296" t="s">
        <v>723</v>
      </c>
      <c r="J20" s="287"/>
      <c r="K20" s="297"/>
      <c r="L20" s="296"/>
      <c r="M20" s="289"/>
      <c r="N20" s="308"/>
      <c r="O20" s="296"/>
    </row>
    <row r="21" spans="1:17" x14ac:dyDescent="0.2">
      <c r="A21" s="277" t="s">
        <v>602</v>
      </c>
      <c r="B21" s="280">
        <v>6</v>
      </c>
      <c r="C21" s="212" t="str">
        <f>IF(B21="","",VLOOKUP(B21,prezentace!A$2:E$200,5))</f>
        <v>BUK Lukáš (TTC MS Brno)</v>
      </c>
      <c r="D21" s="284">
        <v>3</v>
      </c>
      <c r="E21" s="297"/>
      <c r="F21" s="296" t="s">
        <v>716</v>
      </c>
      <c r="G21" s="285"/>
      <c r="H21" s="297"/>
      <c r="I21" s="296"/>
      <c r="J21" s="287"/>
      <c r="K21" s="328"/>
      <c r="L21" s="296"/>
      <c r="M21" s="289"/>
      <c r="N21" s="308"/>
      <c r="O21" s="296"/>
    </row>
    <row r="22" spans="1:17" x14ac:dyDescent="0.2">
      <c r="A22" s="215"/>
      <c r="B22" s="282"/>
      <c r="C22" s="211"/>
      <c r="D22" s="285"/>
      <c r="E22" s="297"/>
      <c r="F22" s="296"/>
      <c r="G22" s="285"/>
      <c r="H22" s="297"/>
      <c r="I22" s="296"/>
      <c r="J22" s="287"/>
      <c r="K22" s="329" t="s">
        <v>319</v>
      </c>
      <c r="L22" s="305" t="str">
        <f>IF(COUNTBLANK(J19:J25)&gt;5,"",IF(J19&gt;J25,I19,I25))</f>
        <v>BUK Lukáš (TTC MS Brno)</v>
      </c>
      <c r="M22" s="284">
        <v>0</v>
      </c>
      <c r="N22" s="297"/>
      <c r="O22" s="296"/>
    </row>
    <row r="23" spans="1:17" x14ac:dyDescent="0.2">
      <c r="A23" s="273" t="s">
        <v>615</v>
      </c>
      <c r="B23" s="279">
        <v>20</v>
      </c>
      <c r="C23" s="210" t="str">
        <f>IF(B23="","",VLOOKUP(B23,prezentace!A$2:E$200,5))</f>
        <v>KRÁL Ondřej (SKST Hodonín)</v>
      </c>
      <c r="D23" s="283">
        <v>3</v>
      </c>
      <c r="E23" s="297"/>
      <c r="F23" s="296"/>
      <c r="G23" s="285"/>
      <c r="H23" s="297"/>
      <c r="I23" s="296"/>
      <c r="J23" s="287"/>
      <c r="K23" s="297"/>
      <c r="L23" s="296" t="s">
        <v>729</v>
      </c>
      <c r="M23" s="291"/>
      <c r="N23" s="308"/>
      <c r="O23" s="296"/>
    </row>
    <row r="24" spans="1:17" x14ac:dyDescent="0.2">
      <c r="A24" s="277"/>
      <c r="B24" s="280">
        <v>4</v>
      </c>
      <c r="C24" s="212" t="str">
        <f>IF(B24="","",VLOOKUP(B24,prezentace!A$2:E$200,5))</f>
        <v>SOBOTÍKOVÁ Monika (TTC MS Brno)</v>
      </c>
      <c r="D24" s="284">
        <v>0</v>
      </c>
      <c r="E24" s="292" t="s">
        <v>110</v>
      </c>
      <c r="F24" s="304" t="str">
        <f>IF(COUNTBLANK(D23:D24)&gt;0,"",IF(D23&gt;D24,C23,C24))</f>
        <v>KRÁL Ondřej (SKST Hodonín)</v>
      </c>
      <c r="G24" s="283">
        <v>3</v>
      </c>
      <c r="H24" s="328"/>
      <c r="I24" s="296"/>
      <c r="J24" s="287"/>
      <c r="K24" s="297"/>
      <c r="L24" s="296"/>
      <c r="M24" s="291"/>
      <c r="N24" s="308"/>
      <c r="O24" s="296"/>
      <c r="P24" s="274"/>
      <c r="Q24" s="275"/>
    </row>
    <row r="25" spans="1:17" x14ac:dyDescent="0.2">
      <c r="A25" s="213"/>
      <c r="B25" s="281"/>
      <c r="C25" s="211"/>
      <c r="D25" s="285"/>
      <c r="E25" s="297"/>
      <c r="F25" s="296" t="s">
        <v>714</v>
      </c>
      <c r="G25" s="287"/>
      <c r="H25" s="329" t="s">
        <v>315</v>
      </c>
      <c r="I25" s="305" t="str">
        <f>IF(COUNTBLANK(G24:G26)&gt;1,"",IF(G24&gt;G26,F24,F26))</f>
        <v>KRÁL Ondřej (SKST Hodonín)</v>
      </c>
      <c r="J25" s="284">
        <v>1</v>
      </c>
      <c r="K25" s="297"/>
      <c r="L25" s="303"/>
      <c r="M25" s="291"/>
      <c r="N25" s="308"/>
      <c r="O25" s="296"/>
      <c r="P25" s="274"/>
    </row>
    <row r="26" spans="1:17" x14ac:dyDescent="0.2">
      <c r="A26" s="273"/>
      <c r="B26" s="279">
        <v>14</v>
      </c>
      <c r="C26" s="210" t="str">
        <f>IF(B26="","",VLOOKUP(B26,prezentace!A$2:E$200,5))</f>
        <v>ŠTĚPÁNEK Ondřej (KST Blansko)</v>
      </c>
      <c r="D26" s="283">
        <v>2</v>
      </c>
      <c r="E26" s="293" t="s">
        <v>110</v>
      </c>
      <c r="F26" s="305" t="str">
        <f>IF(COUNTBLANK(D26:D27)&gt;0,"",IF(D26&gt;D27,C26,C27))</f>
        <v>HOLUBOVÁ Simona (SKST Hodonín)</v>
      </c>
      <c r="G26" s="284">
        <v>0</v>
      </c>
      <c r="H26" s="297"/>
      <c r="I26" s="296" t="s">
        <v>726</v>
      </c>
      <c r="J26" s="285"/>
      <c r="K26" s="297"/>
      <c r="L26" s="296"/>
      <c r="M26" s="291"/>
      <c r="N26" s="308"/>
      <c r="O26" s="296"/>
      <c r="P26" s="274"/>
    </row>
    <row r="27" spans="1:17" x14ac:dyDescent="0.2">
      <c r="A27" s="277" t="s">
        <v>524</v>
      </c>
      <c r="B27" s="280">
        <v>15</v>
      </c>
      <c r="C27" s="212" t="str">
        <f>IF(B27="","",VLOOKUP(B27,prezentace!A$2:E$200,5))</f>
        <v>HOLUBOVÁ Simona (SKST Hodonín)</v>
      </c>
      <c r="D27" s="284">
        <v>3</v>
      </c>
      <c r="E27" s="297"/>
      <c r="F27" s="296" t="s">
        <v>720</v>
      </c>
      <c r="G27" s="285"/>
      <c r="H27" s="297"/>
      <c r="I27" s="296"/>
      <c r="J27" s="294"/>
      <c r="K27" s="297"/>
      <c r="L27" s="296"/>
      <c r="M27" s="291"/>
      <c r="N27" s="308"/>
      <c r="O27" s="296"/>
      <c r="P27" s="274"/>
    </row>
    <row r="28" spans="1:17" x14ac:dyDescent="0.2">
      <c r="A28" s="276"/>
      <c r="B28" s="276"/>
      <c r="C28" s="381"/>
      <c r="D28" s="382"/>
      <c r="E28" s="306"/>
      <c r="F28" s="307"/>
      <c r="G28" s="288"/>
      <c r="H28" s="301"/>
      <c r="I28" s="302"/>
      <c r="J28" s="294"/>
      <c r="K28" s="297"/>
      <c r="L28" s="303"/>
      <c r="M28" s="291"/>
      <c r="N28" s="308"/>
      <c r="O28" s="296"/>
      <c r="P28" s="274"/>
    </row>
    <row r="29" spans="1:17" x14ac:dyDescent="0.2">
      <c r="A29" s="383"/>
      <c r="B29" s="383"/>
      <c r="C29" s="383"/>
      <c r="D29" s="384"/>
      <c r="E29" s="385"/>
      <c r="F29" s="385"/>
      <c r="G29" s="294"/>
      <c r="H29" s="300"/>
      <c r="I29" s="300"/>
      <c r="J29" s="294"/>
      <c r="K29" s="300"/>
      <c r="L29" s="300"/>
      <c r="M29" s="294"/>
      <c r="N29" s="300"/>
      <c r="O29" s="300"/>
    </row>
  </sheetData>
  <mergeCells count="7">
    <mergeCell ref="A1:O1"/>
    <mergeCell ref="A2:O2"/>
    <mergeCell ref="A4:D4"/>
    <mergeCell ref="E4:G4"/>
    <mergeCell ref="H4:J4"/>
    <mergeCell ref="K4:M4"/>
    <mergeCell ref="N4:O4"/>
  </mergeCells>
  <pageMargins left="0.78740157480314965" right="0.39370078740157483" top="0.39370078740157483" bottom="0" header="0.31496062992125984" footer="0.31496062992125984"/>
  <pageSetup paperSize="9" scale="7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CBF2-867F-4216-88F1-ACDFF87DDEC5}">
  <dimension ref="A1:S59"/>
  <sheetViews>
    <sheetView showGridLines="0" view="pageBreakPreview" topLeftCell="A40" zoomScaleNormal="100" zoomScaleSheetLayoutView="100" workbookViewId="0">
      <selection activeCell="M13" sqref="M13"/>
    </sheetView>
  </sheetViews>
  <sheetFormatPr defaultRowHeight="12.75" x14ac:dyDescent="0.2"/>
  <cols>
    <col min="1" max="1" width="6.85546875" style="102" customWidth="1"/>
    <col min="2" max="2" width="5.5703125" style="102" bestFit="1" customWidth="1"/>
    <col min="3" max="4" width="23.85546875" style="89" customWidth="1"/>
    <col min="5" max="9" width="6.5703125" style="90" customWidth="1"/>
    <col min="10" max="10" width="9.42578125" style="88" customWidth="1"/>
    <col min="11" max="11" width="5.42578125" style="106" bestFit="1" customWidth="1"/>
    <col min="12" max="12" width="21.140625" style="106" customWidth="1"/>
    <col min="13" max="13" width="15" style="106" customWidth="1"/>
    <col min="14" max="14" width="15" style="90" customWidth="1"/>
    <col min="15" max="15" width="27.140625" style="90" bestFit="1" customWidth="1"/>
    <col min="16" max="18" width="5.7109375" style="90" bestFit="1" customWidth="1"/>
    <col min="19" max="19" width="8.140625" style="88" bestFit="1" customWidth="1"/>
    <col min="20" max="16384" width="9.140625" style="90"/>
  </cols>
  <sheetData>
    <row r="1" spans="1:14" ht="14.45" customHeight="1" x14ac:dyDescent="0.2">
      <c r="A1" s="103" t="s">
        <v>53</v>
      </c>
      <c r="B1" s="100" t="s">
        <v>60</v>
      </c>
      <c r="C1" s="94" t="s">
        <v>96</v>
      </c>
      <c r="D1" s="94" t="s">
        <v>97</v>
      </c>
      <c r="E1" s="93" t="s">
        <v>162</v>
      </c>
      <c r="F1" s="93" t="s">
        <v>163</v>
      </c>
      <c r="G1" s="93" t="s">
        <v>164</v>
      </c>
      <c r="H1" s="93" t="s">
        <v>221</v>
      </c>
      <c r="I1" s="93" t="s">
        <v>220</v>
      </c>
      <c r="J1" s="226" t="s">
        <v>161</v>
      </c>
    </row>
    <row r="2" spans="1:14" ht="23.25" x14ac:dyDescent="0.2">
      <c r="A2" s="317" t="s">
        <v>314</v>
      </c>
      <c r="B2" s="101"/>
      <c r="C2" s="99"/>
      <c r="D2" s="99"/>
      <c r="E2" s="225"/>
      <c r="F2" s="96"/>
      <c r="G2" s="96"/>
      <c r="H2" s="96"/>
      <c r="I2" s="96"/>
      <c r="J2" s="113"/>
    </row>
    <row r="3" spans="1:14" ht="24" thickBot="1" x14ac:dyDescent="0.25">
      <c r="A3" s="429" t="s">
        <v>165</v>
      </c>
      <c r="B3" s="430"/>
      <c r="C3" s="98"/>
      <c r="D3" s="92" t="s">
        <v>166</v>
      </c>
      <c r="E3" s="431"/>
      <c r="F3" s="431"/>
      <c r="G3" s="431"/>
      <c r="H3" s="431"/>
      <c r="I3" s="431"/>
      <c r="J3" s="432"/>
    </row>
    <row r="4" spans="1:14" ht="13.5" thickBot="1" x14ac:dyDescent="0.25"/>
    <row r="5" spans="1:14" ht="14.45" customHeight="1" x14ac:dyDescent="0.2">
      <c r="A5" s="103" t="s">
        <v>53</v>
      </c>
      <c r="B5" s="100" t="s">
        <v>60</v>
      </c>
      <c r="C5" s="94" t="s">
        <v>96</v>
      </c>
      <c r="D5" s="94" t="s">
        <v>97</v>
      </c>
      <c r="E5" s="93" t="s">
        <v>162</v>
      </c>
      <c r="F5" s="93" t="s">
        <v>163</v>
      </c>
      <c r="G5" s="93" t="s">
        <v>164</v>
      </c>
      <c r="H5" s="93" t="s">
        <v>221</v>
      </c>
      <c r="I5" s="93" t="s">
        <v>220</v>
      </c>
      <c r="J5" s="226" t="s">
        <v>161</v>
      </c>
    </row>
    <row r="6" spans="1:14" ht="23.25" x14ac:dyDescent="0.2">
      <c r="A6" s="317" t="s">
        <v>314</v>
      </c>
      <c r="B6" s="101"/>
      <c r="C6" s="99"/>
      <c r="D6" s="99"/>
      <c r="E6" s="96"/>
      <c r="F6" s="96"/>
      <c r="G6" s="96"/>
      <c r="H6" s="96"/>
      <c r="I6" s="96"/>
      <c r="J6" s="113"/>
      <c r="N6" s="227"/>
    </row>
    <row r="7" spans="1:14" ht="24" thickBot="1" x14ac:dyDescent="0.25">
      <c r="A7" s="429" t="s">
        <v>165</v>
      </c>
      <c r="B7" s="430"/>
      <c r="C7" s="98"/>
      <c r="D7" s="92" t="s">
        <v>166</v>
      </c>
      <c r="E7" s="431"/>
      <c r="F7" s="431"/>
      <c r="G7" s="431"/>
      <c r="H7" s="431"/>
      <c r="I7" s="431"/>
      <c r="J7" s="432"/>
    </row>
    <row r="8" spans="1:14" ht="12" customHeight="1" thickBot="1" x14ac:dyDescent="0.25">
      <c r="A8" s="105"/>
    </row>
    <row r="9" spans="1:14" ht="14.45" customHeight="1" x14ac:dyDescent="0.2">
      <c r="A9" s="103" t="s">
        <v>53</v>
      </c>
      <c r="B9" s="100" t="s">
        <v>60</v>
      </c>
      <c r="C9" s="94" t="s">
        <v>96</v>
      </c>
      <c r="D9" s="94" t="s">
        <v>97</v>
      </c>
      <c r="E9" s="93" t="s">
        <v>162</v>
      </c>
      <c r="F9" s="93" t="s">
        <v>163</v>
      </c>
      <c r="G9" s="93" t="s">
        <v>164</v>
      </c>
      <c r="H9" s="93" t="s">
        <v>221</v>
      </c>
      <c r="I9" s="93" t="s">
        <v>220</v>
      </c>
      <c r="J9" s="226" t="s">
        <v>161</v>
      </c>
    </row>
    <row r="10" spans="1:14" ht="23.25" x14ac:dyDescent="0.2">
      <c r="A10" s="317" t="s">
        <v>314</v>
      </c>
      <c r="B10" s="101"/>
      <c r="C10" s="99"/>
      <c r="D10" s="99"/>
      <c r="E10" s="96"/>
      <c r="F10" s="96"/>
      <c r="G10" s="96"/>
      <c r="H10" s="96"/>
      <c r="I10" s="96"/>
      <c r="J10" s="113"/>
    </row>
    <row r="11" spans="1:14" ht="24" thickBot="1" x14ac:dyDescent="0.25">
      <c r="A11" s="429" t="s">
        <v>165</v>
      </c>
      <c r="B11" s="430"/>
      <c r="C11" s="98"/>
      <c r="D11" s="92" t="s">
        <v>166</v>
      </c>
      <c r="E11" s="431"/>
      <c r="F11" s="431"/>
      <c r="G11" s="431"/>
      <c r="H11" s="431"/>
      <c r="I11" s="431"/>
      <c r="J11" s="432"/>
    </row>
    <row r="12" spans="1:14" ht="12" customHeight="1" thickBot="1" x14ac:dyDescent="0.25"/>
    <row r="13" spans="1:14" ht="14.45" customHeight="1" x14ac:dyDescent="0.2">
      <c r="A13" s="103" t="s">
        <v>53</v>
      </c>
      <c r="B13" s="100" t="s">
        <v>60</v>
      </c>
      <c r="C13" s="94" t="s">
        <v>96</v>
      </c>
      <c r="D13" s="94" t="s">
        <v>97</v>
      </c>
      <c r="E13" s="93" t="s">
        <v>162</v>
      </c>
      <c r="F13" s="93" t="s">
        <v>163</v>
      </c>
      <c r="G13" s="93" t="s">
        <v>164</v>
      </c>
      <c r="H13" s="93" t="s">
        <v>221</v>
      </c>
      <c r="I13" s="93" t="s">
        <v>220</v>
      </c>
      <c r="J13" s="226" t="s">
        <v>161</v>
      </c>
    </row>
    <row r="14" spans="1:14" ht="23.25" x14ac:dyDescent="0.2">
      <c r="A14" s="317" t="s">
        <v>314</v>
      </c>
      <c r="B14" s="101"/>
      <c r="C14" s="99"/>
      <c r="D14" s="99"/>
      <c r="E14" s="96"/>
      <c r="F14" s="96"/>
      <c r="G14" s="96"/>
      <c r="H14" s="96"/>
      <c r="I14" s="96"/>
      <c r="J14" s="113"/>
    </row>
    <row r="15" spans="1:14" ht="24" thickBot="1" x14ac:dyDescent="0.25">
      <c r="A15" s="429" t="s">
        <v>165</v>
      </c>
      <c r="B15" s="430"/>
      <c r="C15" s="98"/>
      <c r="D15" s="92" t="s">
        <v>166</v>
      </c>
      <c r="E15" s="431"/>
      <c r="F15" s="431"/>
      <c r="G15" s="431"/>
      <c r="H15" s="431"/>
      <c r="I15" s="431"/>
      <c r="J15" s="432"/>
    </row>
    <row r="16" spans="1:14" ht="12" customHeight="1" thickBot="1" x14ac:dyDescent="0.25">
      <c r="A16" s="105"/>
    </row>
    <row r="17" spans="1:19" ht="14.45" customHeight="1" x14ac:dyDescent="0.2">
      <c r="A17" s="103" t="s">
        <v>53</v>
      </c>
      <c r="B17" s="100" t="s">
        <v>60</v>
      </c>
      <c r="C17" s="94" t="s">
        <v>96</v>
      </c>
      <c r="D17" s="94" t="s">
        <v>97</v>
      </c>
      <c r="E17" s="93" t="s">
        <v>162</v>
      </c>
      <c r="F17" s="93" t="s">
        <v>163</v>
      </c>
      <c r="G17" s="93" t="s">
        <v>164</v>
      </c>
      <c r="H17" s="93" t="s">
        <v>221</v>
      </c>
      <c r="I17" s="93" t="s">
        <v>220</v>
      </c>
      <c r="J17" s="226" t="s">
        <v>161</v>
      </c>
    </row>
    <row r="18" spans="1:19" ht="23.25" x14ac:dyDescent="0.2">
      <c r="A18" s="317" t="s">
        <v>314</v>
      </c>
      <c r="B18" s="101"/>
      <c r="C18" s="99"/>
      <c r="D18" s="99"/>
      <c r="E18" s="96"/>
      <c r="F18" s="96"/>
      <c r="G18" s="96"/>
      <c r="H18" s="96"/>
      <c r="I18" s="96"/>
      <c r="J18" s="113"/>
    </row>
    <row r="19" spans="1:19" ht="24" thickBot="1" x14ac:dyDescent="0.25">
      <c r="A19" s="429" t="s">
        <v>165</v>
      </c>
      <c r="B19" s="430"/>
      <c r="C19" s="98"/>
      <c r="D19" s="92" t="s">
        <v>166</v>
      </c>
      <c r="E19" s="431"/>
      <c r="F19" s="431"/>
      <c r="G19" s="431"/>
      <c r="H19" s="431"/>
      <c r="I19" s="431"/>
      <c r="J19" s="432"/>
    </row>
    <row r="20" spans="1:19" ht="13.5" thickBot="1" x14ac:dyDescent="0.25"/>
    <row r="21" spans="1:19" ht="14.45" customHeight="1" x14ac:dyDescent="0.2">
      <c r="A21" s="103" t="s">
        <v>53</v>
      </c>
      <c r="B21" s="100" t="s">
        <v>60</v>
      </c>
      <c r="C21" s="94" t="s">
        <v>96</v>
      </c>
      <c r="D21" s="94" t="s">
        <v>97</v>
      </c>
      <c r="E21" s="93" t="s">
        <v>162</v>
      </c>
      <c r="F21" s="93" t="s">
        <v>163</v>
      </c>
      <c r="G21" s="93" t="s">
        <v>164</v>
      </c>
      <c r="H21" s="93" t="s">
        <v>221</v>
      </c>
      <c r="I21" s="93" t="s">
        <v>220</v>
      </c>
      <c r="J21" s="226" t="s">
        <v>161</v>
      </c>
    </row>
    <row r="22" spans="1:19" ht="23.25" x14ac:dyDescent="0.2">
      <c r="A22" s="317" t="s">
        <v>314</v>
      </c>
      <c r="B22" s="101"/>
      <c r="C22" s="99"/>
      <c r="D22" s="99"/>
      <c r="E22" s="96"/>
      <c r="F22" s="96"/>
      <c r="G22" s="96"/>
      <c r="H22" s="96"/>
      <c r="I22" s="96"/>
      <c r="J22" s="113"/>
    </row>
    <row r="23" spans="1:19" ht="24" thickBot="1" x14ac:dyDescent="0.25">
      <c r="A23" s="429" t="s">
        <v>165</v>
      </c>
      <c r="B23" s="430"/>
      <c r="C23" s="98"/>
      <c r="D23" s="92" t="s">
        <v>166</v>
      </c>
      <c r="E23" s="431"/>
      <c r="F23" s="431"/>
      <c r="G23" s="431"/>
      <c r="H23" s="431"/>
      <c r="I23" s="431"/>
      <c r="J23" s="432"/>
    </row>
    <row r="24" spans="1:19" ht="12" customHeight="1" thickBot="1" x14ac:dyDescent="0.25">
      <c r="A24" s="105"/>
    </row>
    <row r="25" spans="1:19" x14ac:dyDescent="0.2">
      <c r="A25" s="103" t="s">
        <v>53</v>
      </c>
      <c r="B25" s="100" t="s">
        <v>60</v>
      </c>
      <c r="C25" s="94" t="s">
        <v>96</v>
      </c>
      <c r="D25" s="94" t="s">
        <v>97</v>
      </c>
      <c r="E25" s="93" t="s">
        <v>162</v>
      </c>
      <c r="F25" s="93" t="s">
        <v>163</v>
      </c>
      <c r="G25" s="93" t="s">
        <v>164</v>
      </c>
      <c r="H25" s="93" t="s">
        <v>221</v>
      </c>
      <c r="I25" s="93" t="s">
        <v>220</v>
      </c>
      <c r="J25" s="226" t="s">
        <v>161</v>
      </c>
    </row>
    <row r="26" spans="1:19" ht="23.25" x14ac:dyDescent="0.2">
      <c r="A26" s="317" t="s">
        <v>314</v>
      </c>
      <c r="B26" s="101"/>
      <c r="C26" s="99"/>
      <c r="D26" s="99"/>
      <c r="E26" s="225"/>
      <c r="F26" s="96"/>
      <c r="G26" s="96"/>
      <c r="H26" s="96"/>
      <c r="I26" s="96"/>
      <c r="J26" s="113"/>
    </row>
    <row r="27" spans="1:19" ht="24" thickBot="1" x14ac:dyDescent="0.25">
      <c r="A27" s="429" t="s">
        <v>165</v>
      </c>
      <c r="B27" s="430"/>
      <c r="C27" s="98"/>
      <c r="D27" s="92" t="s">
        <v>166</v>
      </c>
      <c r="E27" s="431"/>
      <c r="F27" s="431"/>
      <c r="G27" s="431"/>
      <c r="H27" s="431"/>
      <c r="I27" s="431"/>
      <c r="J27" s="432"/>
    </row>
    <row r="28" spans="1:19" ht="13.5" thickBot="1" x14ac:dyDescent="0.25">
      <c r="A28" s="105"/>
    </row>
    <row r="29" spans="1:19" x14ac:dyDescent="0.2">
      <c r="A29" s="103" t="s">
        <v>53</v>
      </c>
      <c r="B29" s="100" t="s">
        <v>60</v>
      </c>
      <c r="C29" s="94" t="s">
        <v>96</v>
      </c>
      <c r="D29" s="94" t="s">
        <v>97</v>
      </c>
      <c r="E29" s="93" t="s">
        <v>162</v>
      </c>
      <c r="F29" s="93" t="s">
        <v>163</v>
      </c>
      <c r="G29" s="93" t="s">
        <v>164</v>
      </c>
      <c r="H29" s="93" t="s">
        <v>221</v>
      </c>
      <c r="I29" s="93" t="s">
        <v>220</v>
      </c>
      <c r="J29" s="226" t="s">
        <v>161</v>
      </c>
    </row>
    <row r="30" spans="1:19" ht="23.25" x14ac:dyDescent="0.2">
      <c r="A30" s="317" t="s">
        <v>314</v>
      </c>
      <c r="B30" s="101"/>
      <c r="C30" s="99"/>
      <c r="D30" s="99"/>
      <c r="E30" s="96"/>
      <c r="F30" s="96"/>
      <c r="G30" s="96"/>
      <c r="H30" s="96"/>
      <c r="I30" s="96"/>
      <c r="J30" s="113"/>
    </row>
    <row r="31" spans="1:19" s="106" customFormat="1" ht="24" thickBot="1" x14ac:dyDescent="0.25">
      <c r="A31" s="429" t="s">
        <v>165</v>
      </c>
      <c r="B31" s="430"/>
      <c r="C31" s="98"/>
      <c r="D31" s="92" t="s">
        <v>166</v>
      </c>
      <c r="E31" s="431"/>
      <c r="F31" s="431"/>
      <c r="G31" s="431"/>
      <c r="H31" s="431"/>
      <c r="I31" s="431"/>
      <c r="J31" s="432"/>
      <c r="N31" s="90"/>
      <c r="O31" s="90"/>
      <c r="P31" s="90"/>
      <c r="Q31" s="90"/>
      <c r="R31" s="90"/>
      <c r="S31" s="88"/>
    </row>
    <row r="32" spans="1:19" s="106" customFormat="1" ht="13.5" thickBot="1" x14ac:dyDescent="0.25">
      <c r="A32" s="105"/>
      <c r="B32" s="102"/>
      <c r="C32" s="89"/>
      <c r="D32" s="89"/>
      <c r="E32" s="90"/>
      <c r="F32" s="90"/>
      <c r="G32" s="90"/>
      <c r="H32" s="90"/>
      <c r="I32" s="90"/>
      <c r="J32" s="88"/>
      <c r="N32" s="90"/>
      <c r="O32" s="90"/>
      <c r="P32" s="90"/>
      <c r="Q32" s="90"/>
      <c r="R32" s="90"/>
      <c r="S32" s="88"/>
    </row>
    <row r="33" spans="1:19" s="106" customFormat="1" x14ac:dyDescent="0.2">
      <c r="A33" s="103" t="s">
        <v>53</v>
      </c>
      <c r="B33" s="100" t="s">
        <v>60</v>
      </c>
      <c r="C33" s="94" t="s">
        <v>96</v>
      </c>
      <c r="D33" s="94" t="s">
        <v>97</v>
      </c>
      <c r="E33" s="93" t="s">
        <v>162</v>
      </c>
      <c r="F33" s="93" t="s">
        <v>163</v>
      </c>
      <c r="G33" s="93" t="s">
        <v>164</v>
      </c>
      <c r="H33" s="93" t="s">
        <v>221</v>
      </c>
      <c r="I33" s="93" t="s">
        <v>220</v>
      </c>
      <c r="J33" s="226" t="s">
        <v>161</v>
      </c>
      <c r="N33" s="90"/>
      <c r="O33" s="90"/>
      <c r="P33" s="90"/>
      <c r="Q33" s="90"/>
      <c r="R33" s="90"/>
      <c r="S33" s="88"/>
    </row>
    <row r="34" spans="1:19" s="106" customFormat="1" ht="23.25" x14ac:dyDescent="0.2">
      <c r="A34" s="317" t="str">
        <f>'A-16H-pavouk'!E8</f>
        <v>1-8</v>
      </c>
      <c r="B34" s="101"/>
      <c r="C34" s="99"/>
      <c r="D34" s="99"/>
      <c r="E34" s="96"/>
      <c r="F34" s="96"/>
      <c r="G34" s="96"/>
      <c r="H34" s="96"/>
      <c r="I34" s="96"/>
      <c r="J34" s="113"/>
      <c r="N34" s="90"/>
      <c r="O34" s="90"/>
      <c r="P34" s="90"/>
      <c r="Q34" s="90"/>
      <c r="R34" s="90"/>
      <c r="S34" s="88"/>
    </row>
    <row r="35" spans="1:19" s="106" customFormat="1" ht="24" thickBot="1" x14ac:dyDescent="0.25">
      <c r="A35" s="429" t="s">
        <v>165</v>
      </c>
      <c r="B35" s="430"/>
      <c r="C35" s="98"/>
      <c r="D35" s="92" t="s">
        <v>166</v>
      </c>
      <c r="E35" s="431"/>
      <c r="F35" s="431"/>
      <c r="G35" s="431"/>
      <c r="H35" s="431"/>
      <c r="I35" s="431"/>
      <c r="J35" s="432"/>
      <c r="N35" s="90"/>
      <c r="O35" s="90"/>
      <c r="P35" s="90"/>
      <c r="Q35" s="90"/>
      <c r="R35" s="90"/>
      <c r="S35" s="88"/>
    </row>
    <row r="36" spans="1:19" s="106" customFormat="1" ht="13.5" thickBot="1" x14ac:dyDescent="0.25">
      <c r="A36" s="105"/>
      <c r="B36" s="102"/>
      <c r="C36" s="89"/>
      <c r="D36" s="89"/>
      <c r="E36" s="90"/>
      <c r="F36" s="90"/>
      <c r="G36" s="90"/>
      <c r="H36" s="90"/>
      <c r="I36" s="90"/>
      <c r="J36" s="88"/>
      <c r="N36" s="90"/>
      <c r="O36" s="90"/>
      <c r="P36" s="90"/>
      <c r="Q36" s="90"/>
      <c r="R36" s="90"/>
      <c r="S36" s="88"/>
    </row>
    <row r="37" spans="1:19" s="106" customFormat="1" x14ac:dyDescent="0.2">
      <c r="A37" s="103" t="s">
        <v>53</v>
      </c>
      <c r="B37" s="100" t="s">
        <v>60</v>
      </c>
      <c r="C37" s="94" t="s">
        <v>96</v>
      </c>
      <c r="D37" s="94" t="s">
        <v>97</v>
      </c>
      <c r="E37" s="93" t="s">
        <v>162</v>
      </c>
      <c r="F37" s="93" t="s">
        <v>163</v>
      </c>
      <c r="G37" s="93" t="s">
        <v>164</v>
      </c>
      <c r="H37" s="93" t="s">
        <v>221</v>
      </c>
      <c r="I37" s="93" t="s">
        <v>220</v>
      </c>
      <c r="J37" s="226" t="s">
        <v>161</v>
      </c>
      <c r="N37" s="90"/>
      <c r="O37" s="90"/>
      <c r="P37" s="90"/>
      <c r="Q37" s="90"/>
      <c r="R37" s="90"/>
      <c r="S37" s="88"/>
    </row>
    <row r="38" spans="1:19" s="106" customFormat="1" ht="23.25" x14ac:dyDescent="0.2">
      <c r="A38" s="317" t="str">
        <f>'A-16H-pavouk'!E12</f>
        <v>1-8</v>
      </c>
      <c r="B38" s="101"/>
      <c r="C38" s="99"/>
      <c r="D38" s="99"/>
      <c r="E38" s="96"/>
      <c r="F38" s="96"/>
      <c r="G38" s="96"/>
      <c r="H38" s="96"/>
      <c r="I38" s="96"/>
      <c r="J38" s="113"/>
      <c r="N38" s="90"/>
      <c r="O38" s="90"/>
      <c r="P38" s="90"/>
      <c r="Q38" s="90"/>
      <c r="R38" s="90"/>
      <c r="S38" s="88"/>
    </row>
    <row r="39" spans="1:19" s="106" customFormat="1" ht="24" thickBot="1" x14ac:dyDescent="0.25">
      <c r="A39" s="429" t="s">
        <v>165</v>
      </c>
      <c r="B39" s="430"/>
      <c r="C39" s="98"/>
      <c r="D39" s="92" t="s">
        <v>166</v>
      </c>
      <c r="E39" s="431"/>
      <c r="F39" s="431"/>
      <c r="G39" s="431"/>
      <c r="H39" s="431"/>
      <c r="I39" s="431"/>
      <c r="J39" s="432"/>
      <c r="N39" s="90"/>
      <c r="O39" s="90"/>
      <c r="P39" s="90"/>
      <c r="Q39" s="90"/>
      <c r="R39" s="90"/>
      <c r="S39" s="88"/>
    </row>
    <row r="40" spans="1:19" s="106" customFormat="1" ht="13.5" thickBot="1" x14ac:dyDescent="0.25">
      <c r="A40" s="105"/>
      <c r="B40" s="102"/>
      <c r="C40" s="89"/>
      <c r="D40" s="89"/>
      <c r="E40" s="90"/>
      <c r="F40" s="90"/>
      <c r="G40" s="90"/>
      <c r="H40" s="90"/>
      <c r="I40" s="90"/>
      <c r="J40" s="88"/>
      <c r="N40" s="90"/>
      <c r="O40" s="90"/>
      <c r="P40" s="90"/>
      <c r="Q40" s="90"/>
      <c r="R40" s="90"/>
      <c r="S40" s="88"/>
    </row>
    <row r="41" spans="1:19" s="106" customFormat="1" x14ac:dyDescent="0.2">
      <c r="A41" s="103" t="s">
        <v>53</v>
      </c>
      <c r="B41" s="100" t="s">
        <v>60</v>
      </c>
      <c r="C41" s="94" t="s">
        <v>96</v>
      </c>
      <c r="D41" s="94" t="s">
        <v>97</v>
      </c>
      <c r="E41" s="93" t="s">
        <v>162</v>
      </c>
      <c r="F41" s="93" t="s">
        <v>163</v>
      </c>
      <c r="G41" s="93" t="s">
        <v>164</v>
      </c>
      <c r="H41" s="93" t="s">
        <v>221</v>
      </c>
      <c r="I41" s="93" t="s">
        <v>220</v>
      </c>
      <c r="J41" s="226" t="s">
        <v>161</v>
      </c>
      <c r="N41" s="90"/>
      <c r="O41" s="90"/>
      <c r="P41" s="90"/>
      <c r="Q41" s="90"/>
      <c r="R41" s="90"/>
      <c r="S41" s="88"/>
    </row>
    <row r="42" spans="1:19" s="106" customFormat="1" ht="23.25" x14ac:dyDescent="0.2">
      <c r="A42" s="317" t="str">
        <f>'A-16H-pavouk'!E18</f>
        <v>1-8</v>
      </c>
      <c r="B42" s="101"/>
      <c r="C42" s="99"/>
      <c r="D42" s="99"/>
      <c r="E42" s="96"/>
      <c r="F42" s="96"/>
      <c r="G42" s="96"/>
      <c r="H42" s="96"/>
      <c r="I42" s="96"/>
      <c r="J42" s="113"/>
      <c r="N42" s="90"/>
      <c r="O42" s="90"/>
      <c r="P42" s="90"/>
      <c r="Q42" s="90"/>
      <c r="R42" s="90"/>
      <c r="S42" s="88"/>
    </row>
    <row r="43" spans="1:19" s="106" customFormat="1" ht="24" thickBot="1" x14ac:dyDescent="0.25">
      <c r="A43" s="429" t="s">
        <v>165</v>
      </c>
      <c r="B43" s="430"/>
      <c r="C43" s="98"/>
      <c r="D43" s="92" t="s">
        <v>166</v>
      </c>
      <c r="E43" s="431"/>
      <c r="F43" s="431"/>
      <c r="G43" s="431"/>
      <c r="H43" s="431"/>
      <c r="I43" s="431"/>
      <c r="J43" s="432"/>
      <c r="N43" s="90"/>
      <c r="O43" s="90"/>
      <c r="P43" s="90"/>
      <c r="Q43" s="90"/>
      <c r="R43" s="90"/>
      <c r="S43" s="88"/>
    </row>
    <row r="44" spans="1:19" s="106" customFormat="1" ht="13.5" thickBot="1" x14ac:dyDescent="0.25">
      <c r="A44" s="105"/>
      <c r="B44" s="102"/>
      <c r="C44" s="89"/>
      <c r="D44" s="89"/>
      <c r="E44" s="90"/>
      <c r="F44" s="90"/>
      <c r="G44" s="90"/>
      <c r="H44" s="90"/>
      <c r="I44" s="90"/>
      <c r="J44" s="88"/>
      <c r="N44" s="90"/>
      <c r="O44" s="90"/>
      <c r="P44" s="90"/>
      <c r="Q44" s="90"/>
      <c r="R44" s="90"/>
      <c r="S44" s="88"/>
    </row>
    <row r="45" spans="1:19" s="106" customFormat="1" x14ac:dyDescent="0.2">
      <c r="A45" s="103" t="s">
        <v>53</v>
      </c>
      <c r="B45" s="100" t="s">
        <v>60</v>
      </c>
      <c r="C45" s="94" t="s">
        <v>96</v>
      </c>
      <c r="D45" s="94" t="s">
        <v>97</v>
      </c>
      <c r="E45" s="93" t="s">
        <v>162</v>
      </c>
      <c r="F45" s="93" t="s">
        <v>163</v>
      </c>
      <c r="G45" s="93" t="s">
        <v>164</v>
      </c>
      <c r="H45" s="93" t="s">
        <v>221</v>
      </c>
      <c r="I45" s="93" t="s">
        <v>220</v>
      </c>
      <c r="J45" s="226" t="s">
        <v>161</v>
      </c>
      <c r="N45" s="90"/>
      <c r="O45" s="90"/>
      <c r="P45" s="90"/>
      <c r="Q45" s="90"/>
      <c r="R45" s="90"/>
      <c r="S45" s="88"/>
    </row>
    <row r="46" spans="1:19" s="106" customFormat="1" ht="23.25" x14ac:dyDescent="0.2">
      <c r="A46" s="317" t="str">
        <f>'A-16H-pavouk'!E24</f>
        <v>1-8</v>
      </c>
      <c r="B46" s="101"/>
      <c r="C46" s="99"/>
      <c r="D46" s="99"/>
      <c r="E46" s="96"/>
      <c r="F46" s="96"/>
      <c r="G46" s="96"/>
      <c r="H46" s="96"/>
      <c r="I46" s="96"/>
      <c r="J46" s="113"/>
      <c r="N46" s="90"/>
      <c r="O46" s="90"/>
      <c r="P46" s="90"/>
      <c r="Q46" s="90"/>
      <c r="R46" s="90"/>
      <c r="S46" s="88"/>
    </row>
    <row r="47" spans="1:19" s="106" customFormat="1" ht="24" thickBot="1" x14ac:dyDescent="0.25">
      <c r="A47" s="429" t="s">
        <v>165</v>
      </c>
      <c r="B47" s="430"/>
      <c r="C47" s="98"/>
      <c r="D47" s="92" t="s">
        <v>166</v>
      </c>
      <c r="E47" s="431"/>
      <c r="F47" s="431"/>
      <c r="G47" s="431"/>
      <c r="H47" s="431"/>
      <c r="I47" s="431"/>
      <c r="J47" s="432"/>
      <c r="N47" s="90"/>
      <c r="O47" s="90"/>
      <c r="P47" s="90"/>
      <c r="Q47" s="90"/>
      <c r="R47" s="90"/>
      <c r="S47" s="88"/>
    </row>
    <row r="48" spans="1:19" s="106" customFormat="1" ht="13.5" thickBot="1" x14ac:dyDescent="0.25">
      <c r="A48" s="102"/>
      <c r="B48" s="102"/>
      <c r="C48" s="89"/>
      <c r="D48" s="89"/>
      <c r="E48" s="90"/>
      <c r="F48" s="90"/>
      <c r="G48" s="90"/>
      <c r="H48" s="90"/>
      <c r="I48" s="90"/>
      <c r="J48" s="88"/>
      <c r="N48" s="90"/>
      <c r="O48" s="90"/>
      <c r="P48" s="90"/>
      <c r="Q48" s="90"/>
      <c r="R48" s="90"/>
      <c r="S48" s="88"/>
    </row>
    <row r="49" spans="1:19" s="106" customFormat="1" x14ac:dyDescent="0.2">
      <c r="A49" s="103" t="s">
        <v>53</v>
      </c>
      <c r="B49" s="100" t="s">
        <v>60</v>
      </c>
      <c r="C49" s="94" t="s">
        <v>96</v>
      </c>
      <c r="D49" s="94" t="s">
        <v>97</v>
      </c>
      <c r="E49" s="93" t="s">
        <v>162</v>
      </c>
      <c r="F49" s="93" t="s">
        <v>163</v>
      </c>
      <c r="G49" s="93" t="s">
        <v>164</v>
      </c>
      <c r="H49" s="93" t="s">
        <v>221</v>
      </c>
      <c r="I49" s="93" t="s">
        <v>220</v>
      </c>
      <c r="J49" s="226" t="s">
        <v>161</v>
      </c>
      <c r="N49" s="90"/>
      <c r="O49" s="90"/>
      <c r="P49" s="90"/>
      <c r="Q49" s="90"/>
      <c r="R49" s="90"/>
      <c r="S49" s="88"/>
    </row>
    <row r="50" spans="1:19" s="106" customFormat="1" ht="23.25" x14ac:dyDescent="0.2">
      <c r="A50" s="317" t="str">
        <f>'A-16H-pavouk'!H7</f>
        <v>1-4</v>
      </c>
      <c r="B50" s="101"/>
      <c r="C50" s="99"/>
      <c r="D50" s="99"/>
      <c r="E50" s="96"/>
      <c r="F50" s="96"/>
      <c r="G50" s="96"/>
      <c r="H50" s="96"/>
      <c r="I50" s="96"/>
      <c r="J50" s="113"/>
      <c r="N50" s="90"/>
      <c r="O50" s="90"/>
      <c r="P50" s="90"/>
      <c r="Q50" s="90"/>
      <c r="R50" s="90"/>
      <c r="S50" s="88"/>
    </row>
    <row r="51" spans="1:19" s="106" customFormat="1" ht="23.25" x14ac:dyDescent="0.2">
      <c r="A51" s="429" t="s">
        <v>165</v>
      </c>
      <c r="B51" s="430"/>
      <c r="C51" s="98"/>
      <c r="D51" s="92" t="s">
        <v>166</v>
      </c>
      <c r="E51" s="431"/>
      <c r="F51" s="431"/>
      <c r="G51" s="431"/>
      <c r="H51" s="431"/>
      <c r="I51" s="431"/>
      <c r="J51" s="432"/>
      <c r="N51" s="90"/>
      <c r="O51" s="90"/>
      <c r="P51" s="90"/>
      <c r="Q51" s="90"/>
      <c r="R51" s="90"/>
      <c r="S51" s="88"/>
    </row>
    <row r="52" spans="1:19" s="106" customFormat="1" ht="13.5" thickBot="1" x14ac:dyDescent="0.25">
      <c r="A52" s="105"/>
      <c r="B52" s="102"/>
      <c r="C52" s="89"/>
      <c r="D52" s="89"/>
      <c r="E52" s="90"/>
      <c r="F52" s="90"/>
      <c r="G52" s="90"/>
      <c r="H52" s="90"/>
      <c r="I52" s="90"/>
      <c r="J52" s="88"/>
      <c r="N52" s="90"/>
      <c r="O52" s="90"/>
      <c r="P52" s="90"/>
      <c r="Q52" s="90"/>
      <c r="R52" s="90"/>
      <c r="S52" s="88"/>
    </row>
    <row r="53" spans="1:19" s="106" customFormat="1" x14ac:dyDescent="0.2">
      <c r="A53" s="103" t="s">
        <v>53</v>
      </c>
      <c r="B53" s="100" t="s">
        <v>60</v>
      </c>
      <c r="C53" s="94" t="s">
        <v>96</v>
      </c>
      <c r="D53" s="94" t="s">
        <v>97</v>
      </c>
      <c r="E53" s="93" t="s">
        <v>162</v>
      </c>
      <c r="F53" s="93" t="s">
        <v>163</v>
      </c>
      <c r="G53" s="93" t="s">
        <v>164</v>
      </c>
      <c r="H53" s="93" t="s">
        <v>221</v>
      </c>
      <c r="I53" s="93" t="s">
        <v>220</v>
      </c>
      <c r="J53" s="226" t="s">
        <v>161</v>
      </c>
      <c r="N53" s="90"/>
      <c r="O53" s="90"/>
      <c r="P53" s="90"/>
      <c r="Q53" s="90"/>
      <c r="R53" s="90"/>
      <c r="S53" s="88"/>
    </row>
    <row r="54" spans="1:19" s="106" customFormat="1" ht="23.25" x14ac:dyDescent="0.2">
      <c r="A54" s="317" t="str">
        <f>'A-16H-pavouk'!H19</f>
        <v>1-4</v>
      </c>
      <c r="B54" s="101"/>
      <c r="C54" s="99"/>
      <c r="D54" s="99"/>
      <c r="E54" s="225"/>
      <c r="F54" s="96"/>
      <c r="G54" s="96"/>
      <c r="H54" s="96"/>
      <c r="I54" s="96"/>
      <c r="J54" s="113"/>
      <c r="N54" s="90"/>
      <c r="O54" s="90"/>
      <c r="P54" s="90"/>
      <c r="Q54" s="90"/>
      <c r="R54" s="90"/>
      <c r="S54" s="88"/>
    </row>
    <row r="55" spans="1:19" s="106" customFormat="1" ht="24" thickBot="1" x14ac:dyDescent="0.25">
      <c r="A55" s="429" t="s">
        <v>165</v>
      </c>
      <c r="B55" s="430"/>
      <c r="C55" s="98"/>
      <c r="D55" s="92" t="s">
        <v>166</v>
      </c>
      <c r="E55" s="431"/>
      <c r="F55" s="431"/>
      <c r="G55" s="431"/>
      <c r="H55" s="431"/>
      <c r="I55" s="431"/>
      <c r="J55" s="432"/>
      <c r="N55" s="90"/>
      <c r="O55" s="90"/>
      <c r="P55" s="90"/>
      <c r="Q55" s="90"/>
      <c r="R55" s="90"/>
      <c r="S55" s="88"/>
    </row>
    <row r="56" spans="1:19" s="106" customFormat="1" ht="12" customHeight="1" thickBot="1" x14ac:dyDescent="0.25">
      <c r="A56" s="105"/>
      <c r="B56" s="102"/>
      <c r="C56" s="89"/>
      <c r="D56" s="89"/>
      <c r="E56" s="90"/>
      <c r="F56" s="90"/>
      <c r="G56" s="90"/>
      <c r="H56" s="90"/>
      <c r="I56" s="90"/>
      <c r="J56" s="88"/>
      <c r="N56" s="90"/>
      <c r="O56" s="90"/>
      <c r="P56" s="90"/>
      <c r="Q56" s="90"/>
      <c r="R56" s="90"/>
      <c r="S56" s="88"/>
    </row>
    <row r="57" spans="1:19" s="106" customFormat="1" x14ac:dyDescent="0.2">
      <c r="A57" s="103" t="s">
        <v>53</v>
      </c>
      <c r="B57" s="100" t="s">
        <v>60</v>
      </c>
      <c r="C57" s="94" t="s">
        <v>96</v>
      </c>
      <c r="D57" s="94" t="s">
        <v>97</v>
      </c>
      <c r="E57" s="93" t="s">
        <v>162</v>
      </c>
      <c r="F57" s="93" t="s">
        <v>163</v>
      </c>
      <c r="G57" s="93" t="s">
        <v>164</v>
      </c>
      <c r="H57" s="93" t="s">
        <v>221</v>
      </c>
      <c r="I57" s="93" t="s">
        <v>220</v>
      </c>
      <c r="J57" s="226" t="s">
        <v>161</v>
      </c>
      <c r="N57" s="90"/>
      <c r="O57" s="90"/>
      <c r="P57" s="90"/>
      <c r="Q57" s="90"/>
      <c r="R57" s="90"/>
      <c r="S57" s="88"/>
    </row>
    <row r="58" spans="1:19" s="106" customFormat="1" ht="23.25" x14ac:dyDescent="0.2">
      <c r="A58" s="317" t="str">
        <f>'A-16H-pavouk'!K10</f>
        <v>1-2</v>
      </c>
      <c r="B58" s="101"/>
      <c r="C58" s="99"/>
      <c r="D58" s="99"/>
      <c r="E58" s="225"/>
      <c r="F58" s="96"/>
      <c r="G58" s="96"/>
      <c r="H58" s="96"/>
      <c r="I58" s="96"/>
      <c r="J58" s="113"/>
      <c r="N58" s="90"/>
      <c r="O58" s="90"/>
      <c r="P58" s="90"/>
      <c r="Q58" s="90"/>
      <c r="R58" s="90"/>
      <c r="S58" s="88"/>
    </row>
    <row r="59" spans="1:19" s="106" customFormat="1" ht="24" thickBot="1" x14ac:dyDescent="0.25">
      <c r="A59" s="429" t="s">
        <v>165</v>
      </c>
      <c r="B59" s="430"/>
      <c r="C59" s="98"/>
      <c r="D59" s="92" t="s">
        <v>166</v>
      </c>
      <c r="E59" s="431"/>
      <c r="F59" s="431"/>
      <c r="G59" s="431"/>
      <c r="H59" s="431"/>
      <c r="I59" s="431"/>
      <c r="J59" s="432"/>
      <c r="N59" s="90"/>
      <c r="O59" s="90"/>
      <c r="P59" s="90"/>
      <c r="Q59" s="90"/>
      <c r="R59" s="90"/>
      <c r="S59" s="88"/>
    </row>
  </sheetData>
  <mergeCells count="30">
    <mergeCell ref="A59:B59"/>
    <mergeCell ref="E59:J59"/>
    <mergeCell ref="A35:B35"/>
    <mergeCell ref="E35:J35"/>
    <mergeCell ref="A55:B55"/>
    <mergeCell ref="E55:J55"/>
    <mergeCell ref="A51:B51"/>
    <mergeCell ref="E51:J51"/>
    <mergeCell ref="A43:B43"/>
    <mergeCell ref="E43:J43"/>
    <mergeCell ref="A47:B47"/>
    <mergeCell ref="E47:J47"/>
    <mergeCell ref="A27:B27"/>
    <mergeCell ref="E27:J27"/>
    <mergeCell ref="A31:B31"/>
    <mergeCell ref="E31:J31"/>
    <mergeCell ref="A39:B39"/>
    <mergeCell ref="E39:J39"/>
    <mergeCell ref="A15:B15"/>
    <mergeCell ref="E15:J15"/>
    <mergeCell ref="A19:B19"/>
    <mergeCell ref="E19:J19"/>
    <mergeCell ref="A23:B23"/>
    <mergeCell ref="E23:J23"/>
    <mergeCell ref="A3:B3"/>
    <mergeCell ref="E3:J3"/>
    <mergeCell ref="A7:B7"/>
    <mergeCell ref="E7:J7"/>
    <mergeCell ref="A11:B11"/>
    <mergeCell ref="E11:J11"/>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rowBreaks count="1" manualBreakCount="1">
    <brk id="47"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64F2-22B0-4149-8552-53E5DAC9AC6C}">
  <dimension ref="A1:Q29"/>
  <sheetViews>
    <sheetView view="pageBreakPreview" zoomScaleNormal="115" zoomScaleSheetLayoutView="100" workbookViewId="0">
      <pane ySplit="4" topLeftCell="A5" activePane="bottomLeft" state="frozen"/>
      <selection activeCell="N23" sqref="N23"/>
      <selection pane="bottomLeft" activeCell="O18" sqref="O18"/>
    </sheetView>
  </sheetViews>
  <sheetFormatPr defaultRowHeight="12.75" x14ac:dyDescent="0.2"/>
  <cols>
    <col min="1" max="1" width="4" bestFit="1" customWidth="1"/>
    <col min="2" max="2" width="5" bestFit="1" customWidth="1"/>
    <col min="3" max="3" width="29.7109375" bestFit="1" customWidth="1"/>
    <col min="4" max="4" width="3.7109375" customWidth="1"/>
    <col min="5" max="5" width="5" bestFit="1" customWidth="1"/>
    <col min="6" max="6" width="29.7109375" bestFit="1" customWidth="1"/>
    <col min="7" max="7" width="3.7109375" customWidth="1"/>
    <col min="8" max="8" width="5" bestFit="1" customWidth="1"/>
    <col min="9" max="9" width="28.5703125" bestFit="1" customWidth="1"/>
    <col min="10" max="10" width="3.7109375" customWidth="1"/>
    <col min="11" max="11" width="5" bestFit="1" customWidth="1"/>
    <col min="12" max="12" width="28.5703125" bestFit="1" customWidth="1"/>
    <col min="13" max="14" width="3.7109375" customWidth="1"/>
    <col min="15" max="15" width="28.5703125" bestFit="1" customWidth="1"/>
    <col min="16" max="16" width="3.7109375" customWidth="1"/>
    <col min="17" max="17" width="24.7109375" customWidth="1"/>
    <col min="18" max="18" width="3.7109375" customWidth="1"/>
  </cols>
  <sheetData>
    <row r="1" spans="1:17" ht="15" x14ac:dyDescent="0.2">
      <c r="A1" s="433" t="s">
        <v>682</v>
      </c>
      <c r="B1" s="433"/>
      <c r="C1" s="433"/>
      <c r="D1" s="433"/>
      <c r="E1" s="433"/>
      <c r="F1" s="433"/>
      <c r="G1" s="433"/>
      <c r="H1" s="433"/>
      <c r="I1" s="433"/>
      <c r="J1" s="433"/>
      <c r="K1" s="433"/>
      <c r="L1" s="433"/>
      <c r="M1" s="433"/>
      <c r="N1" s="433"/>
      <c r="O1" s="433"/>
      <c r="P1" s="310"/>
      <c r="Q1" s="310"/>
    </row>
    <row r="2" spans="1:17" ht="15" x14ac:dyDescent="0.2">
      <c r="A2" s="433" t="s">
        <v>703</v>
      </c>
      <c r="B2" s="433"/>
      <c r="C2" s="433"/>
      <c r="D2" s="433"/>
      <c r="E2" s="433"/>
      <c r="F2" s="433"/>
      <c r="G2" s="433"/>
      <c r="H2" s="433"/>
      <c r="I2" s="433"/>
      <c r="J2" s="433"/>
      <c r="K2" s="433"/>
      <c r="L2" s="433"/>
      <c r="M2" s="433"/>
      <c r="N2" s="433"/>
      <c r="O2" s="433"/>
      <c r="P2" s="310"/>
      <c r="Q2" s="310"/>
    </row>
    <row r="3" spans="1:17" ht="15" x14ac:dyDescent="0.2">
      <c r="A3" s="325"/>
      <c r="B3" s="325"/>
      <c r="C3" s="325"/>
      <c r="D3" s="325"/>
      <c r="E3" s="325"/>
      <c r="F3" s="325"/>
      <c r="G3" s="325"/>
      <c r="H3" s="325"/>
      <c r="I3" s="325"/>
      <c r="J3" s="325"/>
      <c r="K3" s="325"/>
      <c r="L3" s="325"/>
      <c r="M3" s="325"/>
      <c r="N3" s="325"/>
      <c r="O3" s="325"/>
      <c r="P3" s="310"/>
      <c r="Q3" s="310"/>
    </row>
    <row r="4" spans="1:17" x14ac:dyDescent="0.2">
      <c r="A4" s="434" t="s">
        <v>223</v>
      </c>
      <c r="B4" s="434"/>
      <c r="C4" s="434"/>
      <c r="D4" s="434"/>
      <c r="E4" s="435" t="s">
        <v>226</v>
      </c>
      <c r="F4" s="435"/>
      <c r="G4" s="435"/>
      <c r="H4" s="435" t="s">
        <v>227</v>
      </c>
      <c r="I4" s="435"/>
      <c r="J4" s="435"/>
      <c r="K4" s="435" t="s">
        <v>225</v>
      </c>
      <c r="L4" s="435"/>
      <c r="M4" s="435"/>
      <c r="N4" s="435" t="s">
        <v>224</v>
      </c>
      <c r="O4" s="435"/>
      <c r="Q4" s="326"/>
    </row>
    <row r="5" spans="1:17" x14ac:dyDescent="0.2">
      <c r="A5" s="273" t="s">
        <v>520</v>
      </c>
      <c r="B5" s="279">
        <v>23</v>
      </c>
      <c r="C5" s="210" t="str">
        <f>IF(B5="","",VLOOKUP(B5,prezentace!A$2:E$200,5))</f>
        <v>KURDIOVSKÝ Matěj (TTC Koral Tišnov)</v>
      </c>
      <c r="D5" s="283">
        <v>3</v>
      </c>
      <c r="E5" s="297"/>
      <c r="F5" s="296"/>
      <c r="G5" s="285"/>
      <c r="H5" s="297"/>
      <c r="I5" s="296"/>
      <c r="J5" s="285"/>
      <c r="K5" s="297"/>
      <c r="L5" s="296"/>
      <c r="M5" s="291"/>
      <c r="N5" s="308"/>
      <c r="O5" s="296"/>
    </row>
    <row r="6" spans="1:17" x14ac:dyDescent="0.2">
      <c r="A6" s="277"/>
      <c r="B6" s="280"/>
      <c r="C6" s="212" t="str">
        <f>IF(B6="","",VLOOKUP(B6,prezentace!A$2:E$200,5))</f>
        <v/>
      </c>
      <c r="D6" s="284">
        <v>0</v>
      </c>
      <c r="E6" s="292" t="s">
        <v>322</v>
      </c>
      <c r="F6" s="304" t="str">
        <f>IF(COUNTBLANK(D5:D6)&gt;0,"",IF(D5&gt;D6,C5,C6))</f>
        <v>KURDIOVSKÝ Matěj (TTC Koral Tišnov)</v>
      </c>
      <c r="G6" s="283">
        <v>3</v>
      </c>
      <c r="H6" s="297"/>
      <c r="I6" s="296"/>
      <c r="J6" s="285"/>
      <c r="K6" s="297"/>
      <c r="L6" s="296"/>
      <c r="M6" s="291"/>
      <c r="N6" s="308"/>
      <c r="O6" s="296"/>
    </row>
    <row r="7" spans="1:17" x14ac:dyDescent="0.2">
      <c r="A7" s="213"/>
      <c r="B7" s="281"/>
      <c r="C7" s="211"/>
      <c r="D7" s="285"/>
      <c r="E7" s="297"/>
      <c r="F7" s="296" t="s">
        <v>670</v>
      </c>
      <c r="G7" s="287"/>
      <c r="H7" s="327" t="s">
        <v>323</v>
      </c>
      <c r="I7" s="304" t="str">
        <f>IF(COUNTBLANK(G6:G8)&gt;1,"",IF(G6&gt;G8,F6,F8))</f>
        <v>KURDIOVSKÝ Matěj (TTC Koral Tišnov)</v>
      </c>
      <c r="J7" s="283">
        <v>3</v>
      </c>
      <c r="K7" s="297"/>
      <c r="L7" s="296"/>
      <c r="M7" s="285"/>
      <c r="N7" s="297"/>
      <c r="O7" s="296"/>
    </row>
    <row r="8" spans="1:17" x14ac:dyDescent="0.2">
      <c r="A8" s="273"/>
      <c r="B8" s="279">
        <v>26</v>
      </c>
      <c r="C8" s="210" t="str">
        <f>IF(B8="","",VLOOKUP(B8,prezentace!A$2:E$200,5))</f>
        <v>GRÜNWALD Michal (KST Vyškov)</v>
      </c>
      <c r="D8" s="283">
        <v>1</v>
      </c>
      <c r="E8" s="329" t="s">
        <v>322</v>
      </c>
      <c r="F8" s="305" t="str">
        <f>IF(COUNTBLANK(D8:D9)&gt;0,"",IF(D8&gt;D9,C8,C9))</f>
        <v>PILITOWSKÁ Lea (KST Blansko)</v>
      </c>
      <c r="G8" s="284">
        <v>0</v>
      </c>
      <c r="H8" s="328"/>
      <c r="I8" s="296" t="s">
        <v>717</v>
      </c>
      <c r="J8" s="287"/>
      <c r="K8" s="297"/>
      <c r="L8" s="296"/>
      <c r="M8" s="291"/>
      <c r="N8" s="308"/>
      <c r="O8" s="296"/>
    </row>
    <row r="9" spans="1:17" x14ac:dyDescent="0.2">
      <c r="A9" s="277" t="s">
        <v>618</v>
      </c>
      <c r="B9" s="280">
        <v>16</v>
      </c>
      <c r="C9" s="212" t="str">
        <f>IF(B9="","",VLOOKUP(B9,prezentace!A$2:E$200,5))</f>
        <v>PILITOWSKÁ Lea (KST Blansko)</v>
      </c>
      <c r="D9" s="284">
        <v>3</v>
      </c>
      <c r="E9" s="297"/>
      <c r="F9" s="296" t="s">
        <v>709</v>
      </c>
      <c r="G9" s="285"/>
      <c r="H9" s="297"/>
      <c r="I9" s="296"/>
      <c r="J9" s="287"/>
      <c r="K9" s="297"/>
      <c r="L9" s="296"/>
      <c r="M9" s="291"/>
      <c r="N9" s="308"/>
      <c r="O9" s="296"/>
    </row>
    <row r="10" spans="1:17" x14ac:dyDescent="0.2">
      <c r="A10" s="213"/>
      <c r="B10" s="281"/>
      <c r="C10" s="211"/>
      <c r="D10" s="285"/>
      <c r="E10" s="297"/>
      <c r="F10" s="296"/>
      <c r="G10" s="285"/>
      <c r="H10" s="297"/>
      <c r="I10" s="296"/>
      <c r="J10" s="287"/>
      <c r="K10" s="327" t="s">
        <v>324</v>
      </c>
      <c r="L10" s="304" t="str">
        <f>IF(COUNTBLANK(J7:J13)&gt;5,"",IF(J7&gt;J13,I7,I13))</f>
        <v>KURDIOVSKÝ Matěj (TTC Koral Tišnov)</v>
      </c>
      <c r="M10" s="283">
        <v>3</v>
      </c>
      <c r="N10" s="297"/>
      <c r="O10" s="296"/>
    </row>
    <row r="11" spans="1:17" x14ac:dyDescent="0.2">
      <c r="A11" s="273" t="s">
        <v>607</v>
      </c>
      <c r="B11" s="279">
        <v>30</v>
      </c>
      <c r="C11" s="210" t="str">
        <f>IF(B11="","",VLOOKUP(B11,prezentace!A$2:E$200,5))</f>
        <v>SVOBODA Ondřej (KST Vyškov)</v>
      </c>
      <c r="D11" s="283">
        <v>0</v>
      </c>
      <c r="E11" s="297"/>
      <c r="F11" s="296"/>
      <c r="G11" s="285"/>
      <c r="H11" s="297"/>
      <c r="I11" s="296"/>
      <c r="J11" s="287"/>
      <c r="K11" s="328"/>
      <c r="L11" s="296" t="s">
        <v>725</v>
      </c>
      <c r="M11" s="289"/>
      <c r="N11" s="308"/>
      <c r="O11" s="296"/>
    </row>
    <row r="12" spans="1:17" x14ac:dyDescent="0.2">
      <c r="A12" s="277"/>
      <c r="B12" s="280">
        <v>11</v>
      </c>
      <c r="C12" s="212" t="str">
        <f>IF(B12="","",VLOOKUP(B12,prezentace!A$2:E$200,5))</f>
        <v>MAZALOVÁ Kristýna (KST Blansko)</v>
      </c>
      <c r="D12" s="284">
        <v>3</v>
      </c>
      <c r="E12" s="292" t="s">
        <v>322</v>
      </c>
      <c r="F12" s="304" t="str">
        <f>IF(COUNTBLANK(D11:D12)&gt;0,"",IF(D11&gt;D12,C11,C12))</f>
        <v>MAZALOVÁ Kristýna (KST Blansko)</v>
      </c>
      <c r="G12" s="283">
        <v>1</v>
      </c>
      <c r="H12" s="328"/>
      <c r="I12" s="296"/>
      <c r="J12" s="287"/>
      <c r="K12" s="297"/>
      <c r="L12" s="296"/>
      <c r="M12" s="289"/>
      <c r="N12" s="308"/>
      <c r="O12" s="296"/>
    </row>
    <row r="13" spans="1:17" x14ac:dyDescent="0.2">
      <c r="A13" s="213"/>
      <c r="B13" s="281"/>
      <c r="C13" s="211"/>
      <c r="D13" s="285"/>
      <c r="E13" s="297"/>
      <c r="F13" s="296" t="s">
        <v>706</v>
      </c>
      <c r="G13" s="287"/>
      <c r="H13" s="329" t="s">
        <v>323</v>
      </c>
      <c r="I13" s="305" t="str">
        <f>IF(COUNTBLANK(G12:G14)&gt;1,"",IF(G12&gt;G14,F12,F14))</f>
        <v>BAHENSKÝ Tomáš (TTC Koral Tišnov)</v>
      </c>
      <c r="J13" s="284">
        <v>1</v>
      </c>
      <c r="K13" s="297"/>
      <c r="L13" s="303"/>
      <c r="M13" s="287"/>
      <c r="N13" s="297"/>
      <c r="O13" s="296"/>
    </row>
    <row r="14" spans="1:17" x14ac:dyDescent="0.2">
      <c r="A14" s="273"/>
      <c r="B14" s="279">
        <v>25</v>
      </c>
      <c r="C14" s="210" t="str">
        <f>IF(B14="","",VLOOKUP(B14,prezentace!A$2:E$200,5))</f>
        <v>ŠTĚRBÁK Lukáš (SKST Hodonín)</v>
      </c>
      <c r="D14" s="283">
        <v>0</v>
      </c>
      <c r="E14" s="329" t="s">
        <v>322</v>
      </c>
      <c r="F14" s="305" t="str">
        <f>IF(COUNTBLANK(D14:D15)&gt;0,"",IF(D14&gt;D15,C14,C15))</f>
        <v>BAHENSKÝ Tomáš (TTC Koral Tišnov)</v>
      </c>
      <c r="G14" s="284">
        <v>3</v>
      </c>
      <c r="H14" s="297"/>
      <c r="I14" s="296" t="s">
        <v>718</v>
      </c>
      <c r="J14" s="285"/>
      <c r="K14" s="297"/>
      <c r="L14" s="296"/>
      <c r="M14" s="289"/>
      <c r="N14" s="308"/>
      <c r="O14" s="296"/>
    </row>
    <row r="15" spans="1:17" x14ac:dyDescent="0.2">
      <c r="A15" s="277" t="s">
        <v>538</v>
      </c>
      <c r="B15" s="280">
        <v>27</v>
      </c>
      <c r="C15" s="212" t="str">
        <f>IF(B15="","",VLOOKUP(B15,prezentace!A$2:E$200,5))</f>
        <v>BAHENSKÝ Tomáš (TTC Koral Tišnov)</v>
      </c>
      <c r="D15" s="284">
        <v>3</v>
      </c>
      <c r="E15" s="297"/>
      <c r="F15" s="296" t="s">
        <v>707</v>
      </c>
      <c r="G15" s="285"/>
      <c r="H15" s="297"/>
      <c r="I15" s="296"/>
      <c r="J15" s="285"/>
      <c r="K15" s="297"/>
      <c r="L15" s="296"/>
      <c r="M15" s="290"/>
      <c r="N15" s="309"/>
      <c r="O15" s="296"/>
    </row>
    <row r="16" spans="1:17" x14ac:dyDescent="0.2">
      <c r="A16" s="215"/>
      <c r="B16" s="282"/>
      <c r="C16" s="211"/>
      <c r="D16" s="285"/>
      <c r="E16" s="297"/>
      <c r="F16" s="296"/>
      <c r="G16" s="285"/>
      <c r="H16" s="297"/>
      <c r="I16" s="296"/>
      <c r="J16" s="285"/>
      <c r="K16" s="297"/>
      <c r="L16" s="296"/>
      <c r="M16" s="290"/>
      <c r="N16" s="298" t="s">
        <v>588</v>
      </c>
      <c r="O16" s="299" t="str">
        <f>IF(COUNTBLANK(M10:M22)&gt;11,"",IF(M10&gt;M22,L10,L22))</f>
        <v>KURDIOVSKÝ Matěj (TTC Koral Tišnov)</v>
      </c>
    </row>
    <row r="17" spans="1:17" x14ac:dyDescent="0.2">
      <c r="A17" s="273" t="s">
        <v>532</v>
      </c>
      <c r="B17" s="279">
        <v>12</v>
      </c>
      <c r="C17" s="210" t="str">
        <f>IF(B17="","",VLOOKUP(B17,prezentace!A$2:E$200,5))</f>
        <v>KREJČÍ David (TTC MS Brno)</v>
      </c>
      <c r="D17" s="283">
        <v>3</v>
      </c>
      <c r="E17" s="297"/>
      <c r="F17" s="296"/>
      <c r="G17" s="285"/>
      <c r="H17" s="297"/>
      <c r="I17" s="296"/>
      <c r="J17" s="285"/>
      <c r="K17" s="297"/>
      <c r="L17" s="296"/>
      <c r="M17" s="289"/>
      <c r="N17" s="308"/>
      <c r="O17" s="296" t="s">
        <v>730</v>
      </c>
    </row>
    <row r="18" spans="1:17" x14ac:dyDescent="0.2">
      <c r="A18" s="277"/>
      <c r="B18" s="280"/>
      <c r="C18" s="212" t="str">
        <f>IF(B18="","",VLOOKUP(B18,prezentace!A$2:E$200,5))</f>
        <v/>
      </c>
      <c r="D18" s="284">
        <v>0</v>
      </c>
      <c r="E18" s="292" t="s">
        <v>322</v>
      </c>
      <c r="F18" s="304" t="str">
        <f>IF(COUNTBLANK(D17:D18)&gt;0,"",IF(D17&gt;D18,C17,C18))</f>
        <v>KREJČÍ David (TTC MS Brno)</v>
      </c>
      <c r="G18" s="283">
        <v>2</v>
      </c>
      <c r="H18" s="297"/>
      <c r="I18" s="296"/>
      <c r="J18" s="285"/>
      <c r="K18" s="297"/>
      <c r="L18" s="296"/>
      <c r="M18" s="289"/>
      <c r="N18" s="308"/>
      <c r="O18" s="296"/>
    </row>
    <row r="19" spans="1:17" x14ac:dyDescent="0.2">
      <c r="A19" s="213"/>
      <c r="B19" s="281"/>
      <c r="C19" s="211"/>
      <c r="D19" s="285"/>
      <c r="E19" s="297"/>
      <c r="F19" s="296" t="s">
        <v>670</v>
      </c>
      <c r="G19" s="287"/>
      <c r="H19" s="327" t="s">
        <v>323</v>
      </c>
      <c r="I19" s="304" t="str">
        <f>IF(COUNTBLANK(G18:G20)&gt;1,"",IF(G18&gt;G20,F18,F20))</f>
        <v>NOVOTNÁ Eliška (SKST Hodonín)</v>
      </c>
      <c r="J19" s="283">
        <v>3</v>
      </c>
      <c r="K19" s="297"/>
      <c r="L19" s="296"/>
      <c r="M19" s="287"/>
      <c r="N19" s="297"/>
      <c r="O19" s="296"/>
    </row>
    <row r="20" spans="1:17" x14ac:dyDescent="0.2">
      <c r="A20" s="273"/>
      <c r="B20" s="279">
        <v>24</v>
      </c>
      <c r="C20" s="210" t="str">
        <f>IF(B20="","",VLOOKUP(B20,prezentace!A$2:E$200,5))</f>
        <v>ŠIMEČEK Robin (TTC MS Brno)</v>
      </c>
      <c r="D20" s="283">
        <v>1</v>
      </c>
      <c r="E20" s="329" t="s">
        <v>322</v>
      </c>
      <c r="F20" s="305" t="str">
        <f>IF(COUNTBLANK(D20:D21)&gt;0,"",IF(D20&gt;D21,C20,C21))</f>
        <v>NOVOTNÁ Eliška (SKST Hodonín)</v>
      </c>
      <c r="G20" s="284">
        <v>3</v>
      </c>
      <c r="H20" s="328"/>
      <c r="I20" s="296" t="s">
        <v>721</v>
      </c>
      <c r="J20" s="287"/>
      <c r="K20" s="297"/>
      <c r="L20" s="296"/>
      <c r="M20" s="289"/>
      <c r="N20" s="308"/>
      <c r="O20" s="296"/>
    </row>
    <row r="21" spans="1:17" x14ac:dyDescent="0.2">
      <c r="A21" s="277" t="s">
        <v>610</v>
      </c>
      <c r="B21" s="280">
        <v>22</v>
      </c>
      <c r="C21" s="212" t="str">
        <f>IF(B21="","",VLOOKUP(B21,prezentace!A$2:E$200,5))</f>
        <v>NOVOTNÁ Eliška (SKST Hodonín)</v>
      </c>
      <c r="D21" s="284">
        <v>3</v>
      </c>
      <c r="E21" s="297"/>
      <c r="F21" s="296" t="s">
        <v>708</v>
      </c>
      <c r="G21" s="285"/>
      <c r="H21" s="297"/>
      <c r="I21" s="296"/>
      <c r="J21" s="287"/>
      <c r="K21" s="328"/>
      <c r="L21" s="296"/>
      <c r="M21" s="289"/>
      <c r="N21" s="308"/>
      <c r="O21" s="296"/>
    </row>
    <row r="22" spans="1:17" x14ac:dyDescent="0.2">
      <c r="A22" s="215"/>
      <c r="B22" s="282"/>
      <c r="C22" s="211"/>
      <c r="D22" s="285"/>
      <c r="E22" s="297"/>
      <c r="F22" s="296"/>
      <c r="G22" s="285"/>
      <c r="H22" s="297"/>
      <c r="I22" s="296"/>
      <c r="J22" s="287"/>
      <c r="K22" s="329" t="s">
        <v>324</v>
      </c>
      <c r="L22" s="305" t="str">
        <f>IF(COUNTBLANK(J19:J25)&gt;5,"",IF(J19&gt;J25,I19,I25))</f>
        <v>NOVOTNÁ Eliška (SKST Hodonín)</v>
      </c>
      <c r="M22" s="284">
        <v>0</v>
      </c>
      <c r="N22" s="297"/>
      <c r="O22" s="296"/>
    </row>
    <row r="23" spans="1:17" x14ac:dyDescent="0.2">
      <c r="A23" s="273" t="s">
        <v>619</v>
      </c>
      <c r="B23" s="279">
        <v>13</v>
      </c>
      <c r="C23" s="210" t="str">
        <f>IF(B23="","",VLOOKUP(B23,prezentace!A$2:E$200,5))</f>
        <v>HAVRÁNEK Ondřej (TTC MS Brno)</v>
      </c>
      <c r="D23" s="283">
        <v>3</v>
      </c>
      <c r="E23" s="297"/>
      <c r="F23" s="296"/>
      <c r="G23" s="285"/>
      <c r="H23" s="297"/>
      <c r="I23" s="296"/>
      <c r="J23" s="287"/>
      <c r="K23" s="297"/>
      <c r="L23" s="296" t="s">
        <v>728</v>
      </c>
      <c r="M23" s="291"/>
      <c r="N23" s="308"/>
      <c r="O23" s="296"/>
    </row>
    <row r="24" spans="1:17" x14ac:dyDescent="0.2">
      <c r="A24" s="277"/>
      <c r="B24" s="280">
        <v>28</v>
      </c>
      <c r="C24" s="212" t="str">
        <f>IF(B24="","",VLOOKUP(B24,prezentace!A$2:E$200,5))</f>
        <v>HABÁŇOVÁ Michaela (KST Blansko)</v>
      </c>
      <c r="D24" s="284">
        <v>0</v>
      </c>
      <c r="E24" s="292" t="s">
        <v>322</v>
      </c>
      <c r="F24" s="304" t="str">
        <f>IF(COUNTBLANK(D23:D24)&gt;0,"",IF(D23&gt;D24,C23,C24))</f>
        <v>HAVRÁNEK Ondřej (TTC MS Brno)</v>
      </c>
      <c r="G24" s="283">
        <v>0</v>
      </c>
      <c r="H24" s="328"/>
      <c r="I24" s="296"/>
      <c r="J24" s="287"/>
      <c r="K24" s="297"/>
      <c r="L24" s="296"/>
      <c r="M24" s="291"/>
      <c r="N24" s="308"/>
      <c r="O24" s="296"/>
      <c r="P24" s="274"/>
      <c r="Q24" s="275"/>
    </row>
    <row r="25" spans="1:17" x14ac:dyDescent="0.2">
      <c r="A25" s="213"/>
      <c r="B25" s="281"/>
      <c r="C25" s="211"/>
      <c r="D25" s="285"/>
      <c r="E25" s="297"/>
      <c r="F25" s="296" t="s">
        <v>704</v>
      </c>
      <c r="G25" s="287"/>
      <c r="H25" s="329" t="s">
        <v>323</v>
      </c>
      <c r="I25" s="305" t="str">
        <f>IF(COUNTBLANK(G24:G26)&gt;1,"",IF(G24&gt;G26,F24,F26))</f>
        <v>NOVOHRADSKÁ Karolína (KST Blansko)</v>
      </c>
      <c r="J25" s="284">
        <v>1</v>
      </c>
      <c r="K25" s="297"/>
      <c r="L25" s="303"/>
      <c r="M25" s="291"/>
      <c r="N25" s="308"/>
      <c r="O25" s="296"/>
      <c r="P25" s="274"/>
    </row>
    <row r="26" spans="1:17" x14ac:dyDescent="0.2">
      <c r="A26" s="273"/>
      <c r="B26" s="279">
        <v>19</v>
      </c>
      <c r="C26" s="210" t="str">
        <f>IF(B26="","",VLOOKUP(B26,prezentace!A$2:E$200,5))</f>
        <v>KOTÁSKOVÁ Kristýna (SKST Hodonín)</v>
      </c>
      <c r="D26" s="283">
        <v>0</v>
      </c>
      <c r="E26" s="329" t="s">
        <v>669</v>
      </c>
      <c r="F26" s="305" t="str">
        <f>IF(COUNTBLANK(D26:D27)&gt;0,"",IF(D26&gt;D27,C26,C27))</f>
        <v>NOVOHRADSKÁ Karolína (KST Blansko)</v>
      </c>
      <c r="G26" s="284">
        <v>3</v>
      </c>
      <c r="H26" s="297"/>
      <c r="I26" s="296" t="s">
        <v>719</v>
      </c>
      <c r="J26" s="285"/>
      <c r="K26" s="297"/>
      <c r="L26" s="296"/>
      <c r="M26" s="291"/>
      <c r="N26" s="308"/>
      <c r="O26" s="296"/>
      <c r="P26" s="274"/>
    </row>
    <row r="27" spans="1:17" x14ac:dyDescent="0.2">
      <c r="A27" s="277" t="s">
        <v>526</v>
      </c>
      <c r="B27" s="280">
        <v>2</v>
      </c>
      <c r="C27" s="212" t="str">
        <f>IF(B27="","",VLOOKUP(B27,prezentace!A$2:E$200,5))</f>
        <v>NOVOHRADSKÁ Karolína (KST Blansko)</v>
      </c>
      <c r="D27" s="284">
        <v>3</v>
      </c>
      <c r="E27" s="297"/>
      <c r="F27" s="296" t="s">
        <v>705</v>
      </c>
      <c r="G27" s="285"/>
      <c r="H27" s="297"/>
      <c r="I27" s="296"/>
      <c r="J27" s="285"/>
      <c r="K27" s="297"/>
      <c r="L27" s="296"/>
      <c r="M27" s="285"/>
      <c r="N27" s="297"/>
      <c r="O27" s="296"/>
      <c r="P27" s="274"/>
    </row>
    <row r="28" spans="1:17" x14ac:dyDescent="0.2">
      <c r="A28" s="276"/>
      <c r="B28" s="276"/>
      <c r="C28" s="381"/>
      <c r="D28" s="382"/>
      <c r="E28" s="306"/>
      <c r="F28" s="307"/>
      <c r="G28" s="288"/>
      <c r="H28" s="301"/>
      <c r="I28" s="302"/>
      <c r="J28" s="285"/>
      <c r="K28" s="297"/>
      <c r="L28" s="296"/>
      <c r="M28" s="291"/>
      <c r="N28" s="308"/>
      <c r="O28" s="296"/>
      <c r="P28" s="274"/>
    </row>
    <row r="29" spans="1:17" x14ac:dyDescent="0.2">
      <c r="A29" s="383"/>
      <c r="B29" s="383"/>
      <c r="C29" s="383"/>
      <c r="D29" s="384"/>
      <c r="E29" s="385"/>
      <c r="F29" s="385"/>
      <c r="G29" s="294"/>
      <c r="H29" s="300"/>
      <c r="I29" s="300"/>
      <c r="J29" s="285"/>
      <c r="K29" s="297"/>
      <c r="L29" s="296"/>
      <c r="M29" s="294"/>
      <c r="N29" s="300"/>
      <c r="O29" s="300"/>
    </row>
  </sheetData>
  <mergeCells count="7">
    <mergeCell ref="A1:O1"/>
    <mergeCell ref="A2:O2"/>
    <mergeCell ref="A4:D4"/>
    <mergeCell ref="E4:G4"/>
    <mergeCell ref="H4:J4"/>
    <mergeCell ref="K4:M4"/>
    <mergeCell ref="N4:O4"/>
  </mergeCells>
  <pageMargins left="0.78740157480314965" right="0.39370078740157483" top="0.39370078740157483" bottom="0" header="0.31496062992125984" footer="0.31496062992125984"/>
  <pageSetup paperSize="9"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79423-CA80-4B2A-A9D5-BC6AE949E230}">
  <dimension ref="A1:S59"/>
  <sheetViews>
    <sheetView showGridLines="0" view="pageBreakPreview" topLeftCell="A43" zoomScaleNormal="100" zoomScaleSheetLayoutView="100" workbookViewId="0">
      <selection activeCell="N23" sqref="N23"/>
    </sheetView>
  </sheetViews>
  <sheetFormatPr defaultRowHeight="12.75" x14ac:dyDescent="0.2"/>
  <cols>
    <col min="1" max="1" width="6.85546875" style="102" customWidth="1"/>
    <col min="2" max="2" width="5.5703125" style="102" bestFit="1" customWidth="1"/>
    <col min="3" max="4" width="23.85546875" style="89" customWidth="1"/>
    <col min="5" max="9" width="6.5703125" style="90" customWidth="1"/>
    <col min="10" max="10" width="9.42578125" style="88" customWidth="1"/>
    <col min="11" max="11" width="5.42578125" style="106" bestFit="1" customWidth="1"/>
    <col min="12" max="12" width="21.140625" style="106" customWidth="1"/>
    <col min="13" max="13" width="15" style="106" customWidth="1"/>
    <col min="14" max="14" width="15" style="90" customWidth="1"/>
    <col min="15" max="15" width="27.140625" style="90" bestFit="1" customWidth="1"/>
    <col min="16" max="18" width="5.7109375" style="90" bestFit="1" customWidth="1"/>
    <col min="19" max="19" width="8.140625" style="88" bestFit="1" customWidth="1"/>
    <col min="20" max="16384" width="9.140625" style="90"/>
  </cols>
  <sheetData>
    <row r="1" spans="1:14" ht="14.45" customHeight="1" x14ac:dyDescent="0.2">
      <c r="A1" s="103" t="s">
        <v>53</v>
      </c>
      <c r="B1" s="100" t="s">
        <v>60</v>
      </c>
      <c r="C1" s="94" t="s">
        <v>96</v>
      </c>
      <c r="D1" s="94" t="s">
        <v>97</v>
      </c>
      <c r="E1" s="93" t="s">
        <v>162</v>
      </c>
      <c r="F1" s="93" t="s">
        <v>163</v>
      </c>
      <c r="G1" s="93" t="s">
        <v>164</v>
      </c>
      <c r="H1" s="93" t="s">
        <v>221</v>
      </c>
      <c r="I1" s="93" t="s">
        <v>220</v>
      </c>
      <c r="J1" s="226" t="s">
        <v>161</v>
      </c>
    </row>
    <row r="2" spans="1:14" ht="23.25" x14ac:dyDescent="0.2">
      <c r="A2" s="317" t="s">
        <v>313</v>
      </c>
      <c r="B2" s="101"/>
      <c r="C2" s="99"/>
      <c r="D2" s="99"/>
      <c r="E2" s="225"/>
      <c r="F2" s="96"/>
      <c r="G2" s="96"/>
      <c r="H2" s="96"/>
      <c r="I2" s="96"/>
      <c r="J2" s="113"/>
    </row>
    <row r="3" spans="1:14" ht="24" thickBot="1" x14ac:dyDescent="0.25">
      <c r="A3" s="429" t="s">
        <v>165</v>
      </c>
      <c r="B3" s="430"/>
      <c r="C3" s="98"/>
      <c r="D3" s="92" t="s">
        <v>166</v>
      </c>
      <c r="E3" s="431"/>
      <c r="F3" s="431"/>
      <c r="G3" s="431"/>
      <c r="H3" s="431"/>
      <c r="I3" s="431"/>
      <c r="J3" s="432"/>
    </row>
    <row r="4" spans="1:14" ht="13.5" thickBot="1" x14ac:dyDescent="0.25"/>
    <row r="5" spans="1:14" ht="14.45" customHeight="1" x14ac:dyDescent="0.2">
      <c r="A5" s="103" t="s">
        <v>53</v>
      </c>
      <c r="B5" s="100" t="s">
        <v>60</v>
      </c>
      <c r="C5" s="94" t="s">
        <v>96</v>
      </c>
      <c r="D5" s="94" t="s">
        <v>97</v>
      </c>
      <c r="E5" s="93" t="s">
        <v>162</v>
      </c>
      <c r="F5" s="93" t="s">
        <v>163</v>
      </c>
      <c r="G5" s="93" t="s">
        <v>164</v>
      </c>
      <c r="H5" s="93" t="s">
        <v>221</v>
      </c>
      <c r="I5" s="93" t="s">
        <v>220</v>
      </c>
      <c r="J5" s="226" t="s">
        <v>161</v>
      </c>
    </row>
    <row r="6" spans="1:14" ht="23.25" x14ac:dyDescent="0.2">
      <c r="A6" s="317" t="s">
        <v>313</v>
      </c>
      <c r="B6" s="101"/>
      <c r="C6" s="99"/>
      <c r="D6" s="99"/>
      <c r="E6" s="96"/>
      <c r="F6" s="96"/>
      <c r="G6" s="96"/>
      <c r="H6" s="96"/>
      <c r="I6" s="96"/>
      <c r="J6" s="113"/>
      <c r="N6" s="227"/>
    </row>
    <row r="7" spans="1:14" ht="24" thickBot="1" x14ac:dyDescent="0.25">
      <c r="A7" s="429" t="s">
        <v>165</v>
      </c>
      <c r="B7" s="430"/>
      <c r="C7" s="98"/>
      <c r="D7" s="92" t="s">
        <v>166</v>
      </c>
      <c r="E7" s="431"/>
      <c r="F7" s="431"/>
      <c r="G7" s="431"/>
      <c r="H7" s="431"/>
      <c r="I7" s="431"/>
      <c r="J7" s="432"/>
    </row>
    <row r="8" spans="1:14" ht="12" customHeight="1" thickBot="1" x14ac:dyDescent="0.25">
      <c r="A8" s="105"/>
    </row>
    <row r="9" spans="1:14" ht="14.45" customHeight="1" x14ac:dyDescent="0.2">
      <c r="A9" s="103" t="s">
        <v>53</v>
      </c>
      <c r="B9" s="100" t="s">
        <v>60</v>
      </c>
      <c r="C9" s="94" t="s">
        <v>96</v>
      </c>
      <c r="D9" s="94" t="s">
        <v>97</v>
      </c>
      <c r="E9" s="93" t="s">
        <v>162</v>
      </c>
      <c r="F9" s="93" t="s">
        <v>163</v>
      </c>
      <c r="G9" s="93" t="s">
        <v>164</v>
      </c>
      <c r="H9" s="93" t="s">
        <v>221</v>
      </c>
      <c r="I9" s="93" t="s">
        <v>220</v>
      </c>
      <c r="J9" s="226" t="s">
        <v>161</v>
      </c>
    </row>
    <row r="10" spans="1:14" ht="23.25" x14ac:dyDescent="0.2">
      <c r="A10" s="317" t="s">
        <v>313</v>
      </c>
      <c r="B10" s="101"/>
      <c r="C10" s="99"/>
      <c r="D10" s="99"/>
      <c r="E10" s="96"/>
      <c r="F10" s="96"/>
      <c r="G10" s="96"/>
      <c r="H10" s="96"/>
      <c r="I10" s="96"/>
      <c r="J10" s="113"/>
    </row>
    <row r="11" spans="1:14" ht="24" thickBot="1" x14ac:dyDescent="0.25">
      <c r="A11" s="429" t="s">
        <v>165</v>
      </c>
      <c r="B11" s="430"/>
      <c r="C11" s="98"/>
      <c r="D11" s="92" t="s">
        <v>166</v>
      </c>
      <c r="E11" s="431"/>
      <c r="F11" s="431"/>
      <c r="G11" s="431"/>
      <c r="H11" s="431"/>
      <c r="I11" s="431"/>
      <c r="J11" s="432"/>
    </row>
    <row r="12" spans="1:14" ht="12" customHeight="1" thickBot="1" x14ac:dyDescent="0.25"/>
    <row r="13" spans="1:14" ht="14.45" customHeight="1" x14ac:dyDescent="0.2">
      <c r="A13" s="103" t="s">
        <v>53</v>
      </c>
      <c r="B13" s="100" t="s">
        <v>60</v>
      </c>
      <c r="C13" s="94" t="s">
        <v>96</v>
      </c>
      <c r="D13" s="94" t="s">
        <v>97</v>
      </c>
      <c r="E13" s="93" t="s">
        <v>162</v>
      </c>
      <c r="F13" s="93" t="s">
        <v>163</v>
      </c>
      <c r="G13" s="93" t="s">
        <v>164</v>
      </c>
      <c r="H13" s="93" t="s">
        <v>221</v>
      </c>
      <c r="I13" s="93" t="s">
        <v>220</v>
      </c>
      <c r="J13" s="226" t="s">
        <v>161</v>
      </c>
    </row>
    <row r="14" spans="1:14" ht="23.25" x14ac:dyDescent="0.2">
      <c r="A14" s="317" t="s">
        <v>313</v>
      </c>
      <c r="B14" s="101"/>
      <c r="C14" s="99"/>
      <c r="D14" s="99"/>
      <c r="E14" s="96"/>
      <c r="F14" s="96"/>
      <c r="G14" s="96"/>
      <c r="H14" s="96"/>
      <c r="I14" s="96"/>
      <c r="J14" s="113"/>
    </row>
    <row r="15" spans="1:14" ht="24" thickBot="1" x14ac:dyDescent="0.25">
      <c r="A15" s="429" t="s">
        <v>165</v>
      </c>
      <c r="B15" s="430"/>
      <c r="C15" s="98"/>
      <c r="D15" s="92" t="s">
        <v>166</v>
      </c>
      <c r="E15" s="431"/>
      <c r="F15" s="431"/>
      <c r="G15" s="431"/>
      <c r="H15" s="431"/>
      <c r="I15" s="431"/>
      <c r="J15" s="432"/>
    </row>
    <row r="16" spans="1:14" ht="12" customHeight="1" thickBot="1" x14ac:dyDescent="0.25">
      <c r="A16" s="105"/>
    </row>
    <row r="17" spans="1:19" ht="14.45" customHeight="1" x14ac:dyDescent="0.2">
      <c r="A17" s="103" t="s">
        <v>53</v>
      </c>
      <c r="B17" s="100" t="s">
        <v>60</v>
      </c>
      <c r="C17" s="94" t="s">
        <v>96</v>
      </c>
      <c r="D17" s="94" t="s">
        <v>97</v>
      </c>
      <c r="E17" s="93" t="s">
        <v>162</v>
      </c>
      <c r="F17" s="93" t="s">
        <v>163</v>
      </c>
      <c r="G17" s="93" t="s">
        <v>164</v>
      </c>
      <c r="H17" s="93" t="s">
        <v>221</v>
      </c>
      <c r="I17" s="93" t="s">
        <v>220</v>
      </c>
      <c r="J17" s="226" t="s">
        <v>161</v>
      </c>
    </row>
    <row r="18" spans="1:19" ht="23.25" x14ac:dyDescent="0.2">
      <c r="A18" s="317" t="s">
        <v>313</v>
      </c>
      <c r="B18" s="101"/>
      <c r="C18" s="99"/>
      <c r="D18" s="99"/>
      <c r="E18" s="96"/>
      <c r="F18" s="96"/>
      <c r="G18" s="96"/>
      <c r="H18" s="96"/>
      <c r="I18" s="96"/>
      <c r="J18" s="113"/>
    </row>
    <row r="19" spans="1:19" ht="24" thickBot="1" x14ac:dyDescent="0.25">
      <c r="A19" s="429" t="s">
        <v>165</v>
      </c>
      <c r="B19" s="430"/>
      <c r="C19" s="98"/>
      <c r="D19" s="92" t="s">
        <v>166</v>
      </c>
      <c r="E19" s="431"/>
      <c r="F19" s="431"/>
      <c r="G19" s="431"/>
      <c r="H19" s="431"/>
      <c r="I19" s="431"/>
      <c r="J19" s="432"/>
    </row>
    <row r="20" spans="1:19" ht="13.5" thickBot="1" x14ac:dyDescent="0.25"/>
    <row r="21" spans="1:19" ht="14.45" customHeight="1" x14ac:dyDescent="0.2">
      <c r="A21" s="103" t="s">
        <v>53</v>
      </c>
      <c r="B21" s="100" t="s">
        <v>60</v>
      </c>
      <c r="C21" s="94" t="s">
        <v>96</v>
      </c>
      <c r="D21" s="94" t="s">
        <v>97</v>
      </c>
      <c r="E21" s="93" t="s">
        <v>162</v>
      </c>
      <c r="F21" s="93" t="s">
        <v>163</v>
      </c>
      <c r="G21" s="93" t="s">
        <v>164</v>
      </c>
      <c r="H21" s="93" t="s">
        <v>221</v>
      </c>
      <c r="I21" s="93" t="s">
        <v>220</v>
      </c>
      <c r="J21" s="226" t="s">
        <v>161</v>
      </c>
    </row>
    <row r="22" spans="1:19" ht="23.25" x14ac:dyDescent="0.2">
      <c r="A22" s="317" t="s">
        <v>313</v>
      </c>
      <c r="B22" s="101"/>
      <c r="C22" s="99"/>
      <c r="D22" s="99"/>
      <c r="E22" s="96"/>
      <c r="F22" s="96"/>
      <c r="G22" s="96"/>
      <c r="H22" s="96"/>
      <c r="I22" s="96"/>
      <c r="J22" s="113"/>
    </row>
    <row r="23" spans="1:19" ht="24" thickBot="1" x14ac:dyDescent="0.25">
      <c r="A23" s="429" t="s">
        <v>165</v>
      </c>
      <c r="B23" s="430"/>
      <c r="C23" s="98"/>
      <c r="D23" s="92" t="s">
        <v>166</v>
      </c>
      <c r="E23" s="431"/>
      <c r="F23" s="431"/>
      <c r="G23" s="431"/>
      <c r="H23" s="431"/>
      <c r="I23" s="431"/>
      <c r="J23" s="432"/>
    </row>
    <row r="24" spans="1:19" ht="12" customHeight="1" thickBot="1" x14ac:dyDescent="0.25">
      <c r="A24" s="105"/>
    </row>
    <row r="25" spans="1:19" x14ac:dyDescent="0.2">
      <c r="A25" s="103" t="s">
        <v>53</v>
      </c>
      <c r="B25" s="100" t="s">
        <v>60</v>
      </c>
      <c r="C25" s="94" t="s">
        <v>96</v>
      </c>
      <c r="D25" s="94" t="s">
        <v>97</v>
      </c>
      <c r="E25" s="93" t="s">
        <v>162</v>
      </c>
      <c r="F25" s="93" t="s">
        <v>163</v>
      </c>
      <c r="G25" s="93" t="s">
        <v>164</v>
      </c>
      <c r="H25" s="93" t="s">
        <v>221</v>
      </c>
      <c r="I25" s="93" t="s">
        <v>220</v>
      </c>
      <c r="J25" s="226" t="s">
        <v>161</v>
      </c>
    </row>
    <row r="26" spans="1:19" ht="23.25" x14ac:dyDescent="0.2">
      <c r="A26" s="317" t="s">
        <v>313</v>
      </c>
      <c r="B26" s="101"/>
      <c r="C26" s="99"/>
      <c r="D26" s="99"/>
      <c r="E26" s="225"/>
      <c r="F26" s="96"/>
      <c r="G26" s="96"/>
      <c r="H26" s="96"/>
      <c r="I26" s="96"/>
      <c r="J26" s="113"/>
    </row>
    <row r="27" spans="1:19" s="106" customFormat="1" ht="24" thickBot="1" x14ac:dyDescent="0.25">
      <c r="A27" s="429" t="s">
        <v>165</v>
      </c>
      <c r="B27" s="430"/>
      <c r="C27" s="98"/>
      <c r="D27" s="92" t="s">
        <v>166</v>
      </c>
      <c r="E27" s="431"/>
      <c r="F27" s="431"/>
      <c r="G27" s="431"/>
      <c r="H27" s="431"/>
      <c r="I27" s="431"/>
      <c r="J27" s="432"/>
      <c r="N27" s="90"/>
      <c r="O27" s="90"/>
      <c r="P27" s="90"/>
      <c r="Q27" s="90"/>
      <c r="R27" s="90"/>
      <c r="S27" s="88"/>
    </row>
    <row r="28" spans="1:19" s="106" customFormat="1" ht="13.5" thickBot="1" x14ac:dyDescent="0.25">
      <c r="A28" s="105"/>
      <c r="B28" s="102"/>
      <c r="C28" s="89"/>
      <c r="D28" s="89"/>
      <c r="E28" s="90"/>
      <c r="F28" s="90"/>
      <c r="G28" s="90"/>
      <c r="H28" s="90"/>
      <c r="I28" s="90"/>
      <c r="J28" s="88"/>
      <c r="N28" s="90"/>
      <c r="O28" s="90"/>
      <c r="P28" s="90"/>
      <c r="Q28" s="90"/>
      <c r="R28" s="90"/>
      <c r="S28" s="88"/>
    </row>
    <row r="29" spans="1:19" s="106" customFormat="1" x14ac:dyDescent="0.2">
      <c r="A29" s="103" t="s">
        <v>53</v>
      </c>
      <c r="B29" s="100" t="s">
        <v>60</v>
      </c>
      <c r="C29" s="94" t="s">
        <v>96</v>
      </c>
      <c r="D29" s="94" t="s">
        <v>97</v>
      </c>
      <c r="E29" s="93" t="s">
        <v>162</v>
      </c>
      <c r="F29" s="93" t="s">
        <v>163</v>
      </c>
      <c r="G29" s="93" t="s">
        <v>164</v>
      </c>
      <c r="H29" s="93" t="s">
        <v>221</v>
      </c>
      <c r="I29" s="93" t="s">
        <v>220</v>
      </c>
      <c r="J29" s="226" t="s">
        <v>161</v>
      </c>
      <c r="N29" s="90"/>
      <c r="O29" s="90"/>
      <c r="P29" s="90"/>
      <c r="Q29" s="90"/>
      <c r="R29" s="90"/>
      <c r="S29" s="88"/>
    </row>
    <row r="30" spans="1:19" s="106" customFormat="1" ht="23.25" x14ac:dyDescent="0.2">
      <c r="A30" s="317" t="s">
        <v>313</v>
      </c>
      <c r="B30" s="101"/>
      <c r="C30" s="99"/>
      <c r="D30" s="99"/>
      <c r="E30" s="225"/>
      <c r="F30" s="96"/>
      <c r="G30" s="96"/>
      <c r="H30" s="96"/>
      <c r="I30" s="96"/>
      <c r="J30" s="113"/>
      <c r="N30" s="90"/>
      <c r="O30" s="90"/>
      <c r="P30" s="90"/>
      <c r="Q30" s="90"/>
      <c r="R30" s="90"/>
      <c r="S30" s="88"/>
    </row>
    <row r="31" spans="1:19" s="106" customFormat="1" ht="24" thickBot="1" x14ac:dyDescent="0.25">
      <c r="A31" s="429" t="s">
        <v>165</v>
      </c>
      <c r="B31" s="430"/>
      <c r="C31" s="98"/>
      <c r="D31" s="92" t="s">
        <v>166</v>
      </c>
      <c r="E31" s="431"/>
      <c r="F31" s="431"/>
      <c r="G31" s="431"/>
      <c r="H31" s="431"/>
      <c r="I31" s="431"/>
      <c r="J31" s="432"/>
      <c r="N31" s="90"/>
      <c r="O31" s="90"/>
      <c r="P31" s="90"/>
      <c r="Q31" s="90"/>
      <c r="R31" s="90"/>
      <c r="S31" s="88"/>
    </row>
    <row r="32" spans="1:19" s="106" customFormat="1" ht="13.5" thickBot="1" x14ac:dyDescent="0.25">
      <c r="A32" s="105"/>
      <c r="B32" s="102"/>
      <c r="C32" s="89"/>
      <c r="D32" s="89"/>
      <c r="E32" s="90"/>
      <c r="F32" s="90"/>
      <c r="G32" s="90"/>
      <c r="H32" s="90"/>
      <c r="I32" s="90"/>
      <c r="J32" s="88"/>
      <c r="N32" s="90"/>
      <c r="O32" s="90"/>
      <c r="P32" s="90"/>
      <c r="Q32" s="90"/>
      <c r="R32" s="90"/>
      <c r="S32" s="88"/>
    </row>
    <row r="33" spans="1:19" s="106" customFormat="1" x14ac:dyDescent="0.2">
      <c r="A33" s="103" t="s">
        <v>53</v>
      </c>
      <c r="B33" s="100" t="s">
        <v>60</v>
      </c>
      <c r="C33" s="94" t="s">
        <v>96</v>
      </c>
      <c r="D33" s="94" t="s">
        <v>97</v>
      </c>
      <c r="E33" s="93" t="s">
        <v>162</v>
      </c>
      <c r="F33" s="93" t="s">
        <v>163</v>
      </c>
      <c r="G33" s="93" t="s">
        <v>164</v>
      </c>
      <c r="H33" s="93" t="s">
        <v>221</v>
      </c>
      <c r="I33" s="93" t="s">
        <v>220</v>
      </c>
      <c r="J33" s="226" t="s">
        <v>161</v>
      </c>
      <c r="N33" s="90"/>
      <c r="O33" s="90"/>
      <c r="P33" s="90"/>
      <c r="Q33" s="90"/>
      <c r="R33" s="90"/>
      <c r="S33" s="88"/>
    </row>
    <row r="34" spans="1:19" s="106" customFormat="1" ht="23.25" x14ac:dyDescent="0.2">
      <c r="A34" s="317" t="str">
        <f>'A-16D-pavouk'!E6</f>
        <v>17-24</v>
      </c>
      <c r="B34" s="101"/>
      <c r="C34" s="99"/>
      <c r="D34" s="99"/>
      <c r="E34" s="96"/>
      <c r="F34" s="96"/>
      <c r="G34" s="96"/>
      <c r="H34" s="96"/>
      <c r="I34" s="96"/>
      <c r="J34" s="113"/>
      <c r="N34" s="90"/>
      <c r="O34" s="90"/>
      <c r="P34" s="90"/>
      <c r="Q34" s="90"/>
      <c r="R34" s="90"/>
      <c r="S34" s="88"/>
    </row>
    <row r="35" spans="1:19" s="106" customFormat="1" ht="24" thickBot="1" x14ac:dyDescent="0.25">
      <c r="A35" s="429" t="s">
        <v>165</v>
      </c>
      <c r="B35" s="430"/>
      <c r="C35" s="98"/>
      <c r="D35" s="92" t="s">
        <v>166</v>
      </c>
      <c r="E35" s="431"/>
      <c r="F35" s="431"/>
      <c r="G35" s="431"/>
      <c r="H35" s="431"/>
      <c r="I35" s="431"/>
      <c r="J35" s="432"/>
      <c r="N35" s="90"/>
      <c r="O35" s="90"/>
      <c r="P35" s="90"/>
      <c r="Q35" s="90"/>
      <c r="R35" s="90"/>
      <c r="S35" s="88"/>
    </row>
    <row r="36" spans="1:19" s="106" customFormat="1" ht="13.5" thickBot="1" x14ac:dyDescent="0.25">
      <c r="A36" s="105"/>
      <c r="B36" s="102"/>
      <c r="C36" s="89"/>
      <c r="D36" s="89"/>
      <c r="E36" s="90"/>
      <c r="F36" s="90"/>
      <c r="G36" s="90"/>
      <c r="H36" s="90"/>
      <c r="I36" s="90"/>
      <c r="J36" s="88"/>
      <c r="N36" s="90"/>
      <c r="O36" s="90"/>
      <c r="P36" s="90"/>
      <c r="Q36" s="90"/>
      <c r="R36" s="90"/>
      <c r="S36" s="88"/>
    </row>
    <row r="37" spans="1:19" s="106" customFormat="1" x14ac:dyDescent="0.2">
      <c r="A37" s="103" t="s">
        <v>53</v>
      </c>
      <c r="B37" s="100" t="s">
        <v>60</v>
      </c>
      <c r="C37" s="94" t="s">
        <v>96</v>
      </c>
      <c r="D37" s="94" t="s">
        <v>97</v>
      </c>
      <c r="E37" s="93" t="s">
        <v>162</v>
      </c>
      <c r="F37" s="93" t="s">
        <v>163</v>
      </c>
      <c r="G37" s="93" t="s">
        <v>164</v>
      </c>
      <c r="H37" s="93" t="s">
        <v>221</v>
      </c>
      <c r="I37" s="93" t="s">
        <v>220</v>
      </c>
      <c r="J37" s="226" t="s">
        <v>161</v>
      </c>
      <c r="N37" s="90"/>
      <c r="O37" s="90"/>
      <c r="P37" s="90"/>
      <c r="Q37" s="90"/>
      <c r="R37" s="90"/>
      <c r="S37" s="88"/>
    </row>
    <row r="38" spans="1:19" s="106" customFormat="1" ht="23.25" x14ac:dyDescent="0.2">
      <c r="A38" s="317" t="str">
        <f>'A-16D-pavouk'!E12</f>
        <v>17-24</v>
      </c>
      <c r="B38" s="101"/>
      <c r="C38" s="99"/>
      <c r="D38" s="99"/>
      <c r="E38" s="96"/>
      <c r="F38" s="96"/>
      <c r="G38" s="96"/>
      <c r="H38" s="96"/>
      <c r="I38" s="96"/>
      <c r="J38" s="113"/>
      <c r="N38" s="90"/>
      <c r="O38" s="90"/>
      <c r="P38" s="90"/>
      <c r="Q38" s="90"/>
      <c r="R38" s="90"/>
      <c r="S38" s="88"/>
    </row>
    <row r="39" spans="1:19" s="106" customFormat="1" ht="24" thickBot="1" x14ac:dyDescent="0.25">
      <c r="A39" s="429" t="s">
        <v>165</v>
      </c>
      <c r="B39" s="430"/>
      <c r="C39" s="98"/>
      <c r="D39" s="92" t="s">
        <v>166</v>
      </c>
      <c r="E39" s="431"/>
      <c r="F39" s="431"/>
      <c r="G39" s="431"/>
      <c r="H39" s="431"/>
      <c r="I39" s="431"/>
      <c r="J39" s="432"/>
      <c r="N39" s="90"/>
      <c r="O39" s="90"/>
      <c r="P39" s="90"/>
      <c r="Q39" s="90"/>
      <c r="R39" s="90"/>
      <c r="S39" s="88"/>
    </row>
    <row r="40" spans="1:19" s="106" customFormat="1" ht="13.5" thickBot="1" x14ac:dyDescent="0.25">
      <c r="A40" s="105"/>
      <c r="B40" s="102"/>
      <c r="C40" s="89"/>
      <c r="D40" s="89"/>
      <c r="E40" s="90"/>
      <c r="F40" s="90"/>
      <c r="G40" s="90"/>
      <c r="H40" s="90"/>
      <c r="I40" s="90"/>
      <c r="J40" s="88"/>
      <c r="N40" s="90"/>
      <c r="O40" s="90"/>
      <c r="P40" s="90"/>
      <c r="Q40" s="90"/>
      <c r="R40" s="90"/>
      <c r="S40" s="88"/>
    </row>
    <row r="41" spans="1:19" s="106" customFormat="1" x14ac:dyDescent="0.2">
      <c r="A41" s="103" t="s">
        <v>53</v>
      </c>
      <c r="B41" s="100" t="s">
        <v>60</v>
      </c>
      <c r="C41" s="94" t="s">
        <v>96</v>
      </c>
      <c r="D41" s="94" t="s">
        <v>97</v>
      </c>
      <c r="E41" s="93" t="s">
        <v>162</v>
      </c>
      <c r="F41" s="93" t="s">
        <v>163</v>
      </c>
      <c r="G41" s="93" t="s">
        <v>164</v>
      </c>
      <c r="H41" s="93" t="s">
        <v>221</v>
      </c>
      <c r="I41" s="93" t="s">
        <v>220</v>
      </c>
      <c r="J41" s="226" t="s">
        <v>161</v>
      </c>
      <c r="N41" s="90"/>
      <c r="O41" s="90"/>
      <c r="P41" s="90"/>
      <c r="Q41" s="90"/>
      <c r="R41" s="90"/>
      <c r="S41" s="88"/>
    </row>
    <row r="42" spans="1:19" s="106" customFormat="1" ht="23.25" x14ac:dyDescent="0.2">
      <c r="A42" s="317" t="str">
        <f>'A-16D-pavouk'!E18</f>
        <v>17-24</v>
      </c>
      <c r="B42" s="101"/>
      <c r="C42" s="99"/>
      <c r="D42" s="99"/>
      <c r="E42" s="96"/>
      <c r="F42" s="96"/>
      <c r="G42" s="96"/>
      <c r="H42" s="96"/>
      <c r="I42" s="96"/>
      <c r="J42" s="113"/>
      <c r="N42" s="90"/>
      <c r="O42" s="90"/>
      <c r="P42" s="90"/>
      <c r="Q42" s="90"/>
      <c r="R42" s="90"/>
      <c r="S42" s="88"/>
    </row>
    <row r="43" spans="1:19" s="106" customFormat="1" ht="24" thickBot="1" x14ac:dyDescent="0.25">
      <c r="A43" s="429" t="s">
        <v>165</v>
      </c>
      <c r="B43" s="430"/>
      <c r="C43" s="98"/>
      <c r="D43" s="92" t="s">
        <v>166</v>
      </c>
      <c r="E43" s="431"/>
      <c r="F43" s="431"/>
      <c r="G43" s="431"/>
      <c r="H43" s="431"/>
      <c r="I43" s="431"/>
      <c r="J43" s="432"/>
      <c r="N43" s="90"/>
      <c r="O43" s="90"/>
      <c r="P43" s="90"/>
      <c r="Q43" s="90"/>
      <c r="R43" s="90"/>
      <c r="S43" s="88"/>
    </row>
    <row r="44" spans="1:19" s="106" customFormat="1" ht="13.5" thickBot="1" x14ac:dyDescent="0.25">
      <c r="A44" s="105"/>
      <c r="B44" s="102"/>
      <c r="C44" s="89"/>
      <c r="D44" s="89"/>
      <c r="E44" s="90"/>
      <c r="F44" s="90"/>
      <c r="G44" s="90"/>
      <c r="H44" s="90"/>
      <c r="I44" s="90"/>
      <c r="J44" s="88"/>
      <c r="N44" s="90"/>
      <c r="O44" s="90"/>
      <c r="P44" s="90"/>
      <c r="Q44" s="90"/>
      <c r="R44" s="90"/>
      <c r="S44" s="88"/>
    </row>
    <row r="45" spans="1:19" s="106" customFormat="1" x14ac:dyDescent="0.2">
      <c r="A45" s="103" t="s">
        <v>53</v>
      </c>
      <c r="B45" s="100" t="s">
        <v>60</v>
      </c>
      <c r="C45" s="94" t="s">
        <v>96</v>
      </c>
      <c r="D45" s="94" t="s">
        <v>97</v>
      </c>
      <c r="E45" s="93" t="s">
        <v>162</v>
      </c>
      <c r="F45" s="93" t="s">
        <v>163</v>
      </c>
      <c r="G45" s="93" t="s">
        <v>164</v>
      </c>
      <c r="H45" s="93" t="s">
        <v>221</v>
      </c>
      <c r="I45" s="93" t="s">
        <v>220</v>
      </c>
      <c r="J45" s="226" t="s">
        <v>161</v>
      </c>
      <c r="N45" s="90"/>
      <c r="O45" s="90"/>
      <c r="P45" s="90"/>
      <c r="Q45" s="90"/>
      <c r="R45" s="90"/>
      <c r="S45" s="88"/>
    </row>
    <row r="46" spans="1:19" s="106" customFormat="1" ht="23.25" x14ac:dyDescent="0.2">
      <c r="A46" s="317" t="str">
        <f>'A-16D-pavouk'!E24</f>
        <v>17-24</v>
      </c>
      <c r="B46" s="101"/>
      <c r="C46" s="99"/>
      <c r="D46" s="99"/>
      <c r="E46" s="96"/>
      <c r="F46" s="96"/>
      <c r="G46" s="96"/>
      <c r="H46" s="96"/>
      <c r="I46" s="96"/>
      <c r="J46" s="113"/>
      <c r="N46" s="90"/>
      <c r="O46" s="90"/>
      <c r="P46" s="90"/>
      <c r="Q46" s="90"/>
      <c r="R46" s="90"/>
      <c r="S46" s="88"/>
    </row>
    <row r="47" spans="1:19" s="106" customFormat="1" ht="24" thickBot="1" x14ac:dyDescent="0.25">
      <c r="A47" s="429" t="s">
        <v>165</v>
      </c>
      <c r="B47" s="430"/>
      <c r="C47" s="98"/>
      <c r="D47" s="92" t="s">
        <v>166</v>
      </c>
      <c r="E47" s="431"/>
      <c r="F47" s="431"/>
      <c r="G47" s="431"/>
      <c r="H47" s="431"/>
      <c r="I47" s="431"/>
      <c r="J47" s="432"/>
      <c r="N47" s="90"/>
      <c r="O47" s="90"/>
      <c r="P47" s="90"/>
      <c r="Q47" s="90"/>
      <c r="R47" s="90"/>
      <c r="S47" s="88"/>
    </row>
    <row r="48" spans="1:19" s="106" customFormat="1" ht="13.5" thickBot="1" x14ac:dyDescent="0.25">
      <c r="A48" s="102"/>
      <c r="B48" s="102"/>
      <c r="C48" s="89"/>
      <c r="D48" s="89"/>
      <c r="E48" s="90"/>
      <c r="F48" s="90"/>
      <c r="G48" s="90"/>
      <c r="H48" s="90"/>
      <c r="I48" s="90"/>
      <c r="J48" s="88"/>
      <c r="N48" s="90"/>
      <c r="O48" s="90"/>
      <c r="P48" s="90"/>
      <c r="Q48" s="90"/>
      <c r="R48" s="90"/>
      <c r="S48" s="88"/>
    </row>
    <row r="49" spans="1:19" s="106" customFormat="1" x14ac:dyDescent="0.2">
      <c r="A49" s="103" t="s">
        <v>53</v>
      </c>
      <c r="B49" s="100" t="s">
        <v>60</v>
      </c>
      <c r="C49" s="94" t="s">
        <v>96</v>
      </c>
      <c r="D49" s="94" t="s">
        <v>97</v>
      </c>
      <c r="E49" s="93" t="s">
        <v>162</v>
      </c>
      <c r="F49" s="93" t="s">
        <v>163</v>
      </c>
      <c r="G49" s="93" t="s">
        <v>164</v>
      </c>
      <c r="H49" s="93" t="s">
        <v>221</v>
      </c>
      <c r="I49" s="93" t="s">
        <v>220</v>
      </c>
      <c r="J49" s="226" t="s">
        <v>161</v>
      </c>
      <c r="N49" s="90"/>
      <c r="O49" s="90"/>
      <c r="P49" s="90"/>
      <c r="Q49" s="90"/>
      <c r="R49" s="90"/>
      <c r="S49" s="88"/>
    </row>
    <row r="50" spans="1:19" s="106" customFormat="1" ht="23.25" x14ac:dyDescent="0.2">
      <c r="A50" s="317" t="str">
        <f>'A-16D-pavouk'!H7</f>
        <v>17-20</v>
      </c>
      <c r="B50" s="101"/>
      <c r="C50" s="99"/>
      <c r="D50" s="99"/>
      <c r="E50" s="96"/>
      <c r="F50" s="96"/>
      <c r="G50" s="96"/>
      <c r="H50" s="96"/>
      <c r="I50" s="96"/>
      <c r="J50" s="113"/>
      <c r="N50" s="90"/>
      <c r="O50" s="90"/>
      <c r="P50" s="90"/>
      <c r="Q50" s="90"/>
      <c r="R50" s="90"/>
      <c r="S50" s="88"/>
    </row>
    <row r="51" spans="1:19" s="106" customFormat="1" ht="24" thickBot="1" x14ac:dyDescent="0.25">
      <c r="A51" s="429" t="s">
        <v>165</v>
      </c>
      <c r="B51" s="430"/>
      <c r="C51" s="98"/>
      <c r="D51" s="92" t="s">
        <v>166</v>
      </c>
      <c r="E51" s="431"/>
      <c r="F51" s="431"/>
      <c r="G51" s="431"/>
      <c r="H51" s="431"/>
      <c r="I51" s="431"/>
      <c r="J51" s="432"/>
      <c r="N51" s="90"/>
      <c r="O51" s="90"/>
      <c r="P51" s="90"/>
      <c r="Q51" s="90"/>
      <c r="R51" s="90"/>
      <c r="S51" s="88"/>
    </row>
    <row r="52" spans="1:19" s="106" customFormat="1" ht="13.5" thickBot="1" x14ac:dyDescent="0.25">
      <c r="A52" s="105"/>
      <c r="B52" s="102"/>
      <c r="C52" s="89"/>
      <c r="D52" s="89"/>
      <c r="E52" s="90"/>
      <c r="F52" s="90"/>
      <c r="G52" s="90"/>
      <c r="H52" s="90"/>
      <c r="I52" s="90"/>
      <c r="J52" s="88"/>
      <c r="N52" s="90"/>
      <c r="O52" s="90"/>
      <c r="P52" s="90"/>
      <c r="Q52" s="90"/>
      <c r="R52" s="90"/>
      <c r="S52" s="88"/>
    </row>
    <row r="53" spans="1:19" s="106" customFormat="1" x14ac:dyDescent="0.2">
      <c r="A53" s="103" t="s">
        <v>53</v>
      </c>
      <c r="B53" s="100" t="s">
        <v>60</v>
      </c>
      <c r="C53" s="94" t="s">
        <v>96</v>
      </c>
      <c r="D53" s="94" t="s">
        <v>97</v>
      </c>
      <c r="E53" s="93" t="s">
        <v>162</v>
      </c>
      <c r="F53" s="93" t="s">
        <v>163</v>
      </c>
      <c r="G53" s="93" t="s">
        <v>164</v>
      </c>
      <c r="H53" s="93" t="s">
        <v>221</v>
      </c>
      <c r="I53" s="93" t="s">
        <v>220</v>
      </c>
      <c r="J53" s="226" t="s">
        <v>161</v>
      </c>
      <c r="N53" s="90"/>
      <c r="O53" s="90"/>
      <c r="P53" s="90"/>
      <c r="Q53" s="90"/>
      <c r="R53" s="90"/>
      <c r="S53" s="88"/>
    </row>
    <row r="54" spans="1:19" s="106" customFormat="1" ht="23.25" x14ac:dyDescent="0.2">
      <c r="A54" s="317" t="str">
        <f>'A-16D-pavouk'!H19</f>
        <v>17-20</v>
      </c>
      <c r="B54" s="101"/>
      <c r="C54" s="99"/>
      <c r="D54" s="99"/>
      <c r="E54" s="225"/>
      <c r="F54" s="96"/>
      <c r="G54" s="96"/>
      <c r="H54" s="96"/>
      <c r="I54" s="96"/>
      <c r="J54" s="113"/>
      <c r="N54" s="90"/>
      <c r="O54" s="90"/>
      <c r="P54" s="90"/>
      <c r="Q54" s="90"/>
      <c r="R54" s="90"/>
      <c r="S54" s="88"/>
    </row>
    <row r="55" spans="1:19" s="106" customFormat="1" ht="24" thickBot="1" x14ac:dyDescent="0.25">
      <c r="A55" s="429" t="s">
        <v>165</v>
      </c>
      <c r="B55" s="430"/>
      <c r="C55" s="98"/>
      <c r="D55" s="92" t="s">
        <v>166</v>
      </c>
      <c r="E55" s="431"/>
      <c r="F55" s="431"/>
      <c r="G55" s="431"/>
      <c r="H55" s="431"/>
      <c r="I55" s="431"/>
      <c r="J55" s="432"/>
      <c r="N55" s="90"/>
      <c r="O55" s="90"/>
      <c r="P55" s="90"/>
      <c r="Q55" s="90"/>
      <c r="R55" s="90"/>
      <c r="S55" s="88"/>
    </row>
    <row r="56" spans="1:19" s="106" customFormat="1" ht="12" customHeight="1" thickBot="1" x14ac:dyDescent="0.25">
      <c r="A56" s="105"/>
      <c r="B56" s="102"/>
      <c r="C56" s="89"/>
      <c r="D56" s="89"/>
      <c r="E56" s="90"/>
      <c r="F56" s="90"/>
      <c r="G56" s="90"/>
      <c r="H56" s="90"/>
      <c r="I56" s="90"/>
      <c r="J56" s="88"/>
      <c r="N56" s="90"/>
      <c r="O56" s="90"/>
      <c r="P56" s="90"/>
      <c r="Q56" s="90"/>
      <c r="R56" s="90"/>
      <c r="S56" s="88"/>
    </row>
    <row r="57" spans="1:19" s="106" customFormat="1" x14ac:dyDescent="0.2">
      <c r="A57" s="103" t="s">
        <v>53</v>
      </c>
      <c r="B57" s="100" t="s">
        <v>60</v>
      </c>
      <c r="C57" s="94" t="s">
        <v>96</v>
      </c>
      <c r="D57" s="94" t="s">
        <v>97</v>
      </c>
      <c r="E57" s="93" t="s">
        <v>162</v>
      </c>
      <c r="F57" s="93" t="s">
        <v>163</v>
      </c>
      <c r="G57" s="93" t="s">
        <v>164</v>
      </c>
      <c r="H57" s="93" t="s">
        <v>221</v>
      </c>
      <c r="I57" s="93" t="s">
        <v>220</v>
      </c>
      <c r="J57" s="226" t="s">
        <v>161</v>
      </c>
      <c r="N57" s="90"/>
      <c r="O57" s="90"/>
      <c r="P57" s="90"/>
      <c r="Q57" s="90"/>
      <c r="R57" s="90"/>
      <c r="S57" s="88"/>
    </row>
    <row r="58" spans="1:19" s="106" customFormat="1" ht="23.25" x14ac:dyDescent="0.2">
      <c r="A58" s="317" t="str">
        <f>'A-16D-pavouk'!K10</f>
        <v>17-18</v>
      </c>
      <c r="B58" s="101"/>
      <c r="C58" s="99"/>
      <c r="D58" s="99"/>
      <c r="E58" s="225"/>
      <c r="F58" s="96"/>
      <c r="G58" s="96"/>
      <c r="H58" s="96"/>
      <c r="I58" s="96"/>
      <c r="J58" s="113"/>
      <c r="N58" s="90"/>
      <c r="O58" s="90"/>
      <c r="P58" s="90"/>
      <c r="Q58" s="90"/>
      <c r="R58" s="90"/>
      <c r="S58" s="88"/>
    </row>
    <row r="59" spans="1:19" s="106" customFormat="1" ht="24" thickBot="1" x14ac:dyDescent="0.25">
      <c r="A59" s="429" t="s">
        <v>165</v>
      </c>
      <c r="B59" s="430"/>
      <c r="C59" s="98"/>
      <c r="D59" s="92" t="s">
        <v>166</v>
      </c>
      <c r="E59" s="431"/>
      <c r="F59" s="431"/>
      <c r="G59" s="431"/>
      <c r="H59" s="431"/>
      <c r="I59" s="431"/>
      <c r="J59" s="432"/>
      <c r="N59" s="90"/>
      <c r="O59" s="90"/>
      <c r="P59" s="90"/>
      <c r="Q59" s="90"/>
      <c r="R59" s="90"/>
      <c r="S59" s="88"/>
    </row>
  </sheetData>
  <mergeCells count="30">
    <mergeCell ref="A59:B59"/>
    <mergeCell ref="E59:J59"/>
    <mergeCell ref="A31:B31"/>
    <mergeCell ref="E31:J31"/>
    <mergeCell ref="A55:B55"/>
    <mergeCell ref="E55:J55"/>
    <mergeCell ref="A51:B51"/>
    <mergeCell ref="E51:J51"/>
    <mergeCell ref="A43:B43"/>
    <mergeCell ref="E43:J43"/>
    <mergeCell ref="A47:B47"/>
    <mergeCell ref="E47:J47"/>
    <mergeCell ref="A27:B27"/>
    <mergeCell ref="E27:J27"/>
    <mergeCell ref="A35:B35"/>
    <mergeCell ref="E35:J35"/>
    <mergeCell ref="A39:B39"/>
    <mergeCell ref="E39:J39"/>
    <mergeCell ref="A15:B15"/>
    <mergeCell ref="E15:J15"/>
    <mergeCell ref="A19:B19"/>
    <mergeCell ref="E19:J19"/>
    <mergeCell ref="A23:B23"/>
    <mergeCell ref="E23:J23"/>
    <mergeCell ref="A3:B3"/>
    <mergeCell ref="E3:J3"/>
    <mergeCell ref="A7:B7"/>
    <mergeCell ref="E7:J7"/>
    <mergeCell ref="A11:B11"/>
    <mergeCell ref="E11:J11"/>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rowBreaks count="1" manualBreakCount="1">
    <brk id="47"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219CA-EB3C-497B-B25D-102E26BE3745}">
  <dimension ref="A1:P40"/>
  <sheetViews>
    <sheetView view="pageBreakPreview" zoomScale="145" zoomScaleNormal="145" zoomScaleSheetLayoutView="145" workbookViewId="0">
      <pane ySplit="5" topLeftCell="A6" activePane="bottomLeft" state="frozen"/>
      <selection activeCell="H5" sqref="H5:J5"/>
      <selection pane="bottomLeft" activeCell="H5" sqref="H5:J5"/>
    </sheetView>
  </sheetViews>
  <sheetFormatPr defaultRowHeight="12.75" x14ac:dyDescent="0.2"/>
  <cols>
    <col min="1" max="2" width="3.7109375" customWidth="1"/>
    <col min="3" max="3" width="24.7109375" customWidth="1"/>
    <col min="4" max="5" width="3.7109375" customWidth="1"/>
    <col min="6" max="6" width="24.7109375" customWidth="1"/>
    <col min="7" max="8" width="3.7109375" customWidth="1"/>
    <col min="9" max="9" width="24.7109375" customWidth="1"/>
    <col min="10" max="11" width="3.7109375" customWidth="1"/>
    <col min="12" max="12" width="24.7109375" customWidth="1"/>
    <col min="13" max="13" width="3.7109375" customWidth="1"/>
    <col min="14" max="14" width="24.7109375" customWidth="1"/>
    <col min="15" max="15" width="3.7109375" customWidth="1"/>
    <col min="16" max="16" width="24.7109375" customWidth="1"/>
    <col min="17" max="17" width="3.7109375" customWidth="1"/>
  </cols>
  <sheetData>
    <row r="1" spans="1:16" ht="15" x14ac:dyDescent="0.2">
      <c r="A1" s="433" t="s">
        <v>591</v>
      </c>
      <c r="B1" s="433"/>
      <c r="C1" s="433"/>
      <c r="D1" s="433"/>
      <c r="E1" s="433"/>
      <c r="F1" s="433"/>
      <c r="G1" s="433"/>
      <c r="H1" s="433"/>
      <c r="I1" s="433"/>
      <c r="J1" s="433"/>
      <c r="K1" s="433"/>
      <c r="L1" s="433"/>
    </row>
    <row r="2" spans="1:16" ht="15" x14ac:dyDescent="0.2">
      <c r="A2" s="433" t="s">
        <v>629</v>
      </c>
      <c r="B2" s="433"/>
      <c r="C2" s="433"/>
      <c r="D2" s="433"/>
      <c r="E2" s="433"/>
      <c r="F2" s="433"/>
      <c r="G2" s="433"/>
      <c r="H2" s="433"/>
      <c r="I2" s="433"/>
      <c r="J2" s="433"/>
      <c r="K2" s="433"/>
      <c r="L2" s="433"/>
    </row>
    <row r="3" spans="1:16" ht="15" x14ac:dyDescent="0.2">
      <c r="A3" s="433"/>
      <c r="B3" s="433"/>
      <c r="C3" s="433"/>
      <c r="D3" s="433"/>
      <c r="E3" s="433"/>
      <c r="F3" s="433"/>
      <c r="G3" s="433"/>
      <c r="H3" s="433"/>
      <c r="I3" s="433"/>
      <c r="J3" s="433"/>
      <c r="K3" s="433"/>
      <c r="L3" s="433"/>
    </row>
    <row r="4" spans="1:16" ht="15" x14ac:dyDescent="0.2">
      <c r="A4" s="433"/>
      <c r="B4" s="433"/>
      <c r="C4" s="433"/>
      <c r="D4" s="433"/>
      <c r="E4" s="433"/>
      <c r="F4" s="433"/>
      <c r="G4" s="433"/>
      <c r="H4" s="433"/>
      <c r="I4" s="433"/>
      <c r="J4" s="433"/>
      <c r="K4" s="433"/>
      <c r="L4" s="433"/>
    </row>
    <row r="5" spans="1:16" x14ac:dyDescent="0.2">
      <c r="A5" s="434" t="s">
        <v>630</v>
      </c>
      <c r="B5" s="434"/>
      <c r="C5" s="434"/>
      <c r="D5" s="434"/>
      <c r="E5" s="436" t="s">
        <v>227</v>
      </c>
      <c r="F5" s="436"/>
      <c r="G5" s="436"/>
      <c r="H5" s="436" t="s">
        <v>225</v>
      </c>
      <c r="I5" s="436"/>
      <c r="J5" s="436"/>
      <c r="K5" s="436" t="s">
        <v>224</v>
      </c>
      <c r="L5" s="436"/>
      <c r="M5" s="370"/>
      <c r="N5" s="368"/>
      <c r="P5" s="368"/>
    </row>
    <row r="6" spans="1:16" x14ac:dyDescent="0.2">
      <c r="A6" s="273" t="s">
        <v>542</v>
      </c>
      <c r="B6" s="279"/>
      <c r="C6" s="210" t="str">
        <f>IF(B6="","",VLOOKUP(B6,prezentace!A$2:E$200,5))</f>
        <v/>
      </c>
      <c r="D6" s="283"/>
      <c r="E6" s="330"/>
      <c r="F6" s="331"/>
      <c r="G6" s="371"/>
      <c r="H6" s="333"/>
      <c r="I6" s="331"/>
      <c r="J6" s="332"/>
      <c r="K6" s="330"/>
      <c r="L6" s="331"/>
      <c r="M6" s="369"/>
      <c r="N6" s="331"/>
    </row>
    <row r="7" spans="1:16" x14ac:dyDescent="0.2">
      <c r="A7" s="277" t="s">
        <v>551</v>
      </c>
      <c r="B7" s="280"/>
      <c r="C7" s="212" t="str">
        <f>IF(B7="","",VLOOKUP(B7,prezentace!A$2:E$200,5))</f>
        <v/>
      </c>
      <c r="D7" s="284"/>
      <c r="E7" s="273" t="s">
        <v>315</v>
      </c>
      <c r="F7" s="210" t="str">
        <f>IF(COUNTBLANK(D6:D7)&gt;0,"",IF(D6&gt;D7,C6,C7))</f>
        <v/>
      </c>
      <c r="G7" s="283"/>
      <c r="H7" s="330"/>
      <c r="I7" s="331"/>
      <c r="J7" s="332"/>
      <c r="K7" s="330"/>
      <c r="L7" s="331"/>
      <c r="M7" s="369"/>
      <c r="N7" s="331"/>
    </row>
    <row r="8" spans="1:16" x14ac:dyDescent="0.2">
      <c r="A8" s="39"/>
      <c r="B8" s="335"/>
      <c r="C8" s="331"/>
      <c r="D8" s="332"/>
      <c r="E8" s="330"/>
      <c r="F8" s="331"/>
      <c r="G8" s="287"/>
      <c r="H8" s="372" t="s">
        <v>319</v>
      </c>
      <c r="I8" s="210" t="str">
        <f>IF(COUNTBLANK(G7:G9)&gt;1,"",IF(G7&gt;G9,F7,F9))</f>
        <v/>
      </c>
      <c r="J8" s="283"/>
      <c r="K8" s="330"/>
      <c r="L8" s="331"/>
      <c r="M8" s="330"/>
      <c r="N8" s="331"/>
    </row>
    <row r="9" spans="1:16" x14ac:dyDescent="0.2">
      <c r="A9" s="273" t="s">
        <v>547</v>
      </c>
      <c r="B9" s="279"/>
      <c r="C9" s="210" t="str">
        <f>IF(B9="","",VLOOKUP(B9,prezentace!A$2:E$200,5))</f>
        <v/>
      </c>
      <c r="D9" s="283"/>
      <c r="E9" s="277" t="s">
        <v>315</v>
      </c>
      <c r="F9" s="212" t="str">
        <f>IF(COUNTBLANK(D9:D10)&gt;0,"",IF(D9&gt;D10,C9,C10))</f>
        <v/>
      </c>
      <c r="G9" s="284"/>
      <c r="H9" s="373"/>
      <c r="I9" s="331"/>
      <c r="J9" s="287"/>
      <c r="K9" s="330"/>
      <c r="L9" s="331"/>
      <c r="M9" s="369"/>
      <c r="N9" s="331"/>
    </row>
    <row r="10" spans="1:16" x14ac:dyDescent="0.2">
      <c r="A10" s="277" t="s">
        <v>554</v>
      </c>
      <c r="B10" s="280"/>
      <c r="C10" s="212" t="str">
        <f>IF(B10="","",VLOOKUP(B10,prezentace!A$2:E$200,5))</f>
        <v/>
      </c>
      <c r="D10" s="284"/>
      <c r="E10" s="330"/>
      <c r="F10" s="331"/>
      <c r="G10" s="332"/>
      <c r="H10" s="330"/>
      <c r="I10" s="331"/>
      <c r="J10" s="287"/>
      <c r="K10" s="330"/>
      <c r="L10" s="331"/>
      <c r="M10" s="330"/>
      <c r="N10" s="331"/>
    </row>
    <row r="11" spans="1:16" x14ac:dyDescent="0.2">
      <c r="A11" s="39"/>
      <c r="B11" s="335"/>
      <c r="C11" s="331"/>
      <c r="D11" s="332"/>
      <c r="E11" s="330"/>
      <c r="F11" s="331"/>
      <c r="G11" s="332"/>
      <c r="H11" s="330"/>
      <c r="I11" s="331"/>
      <c r="J11" s="287"/>
      <c r="K11" s="336" t="s">
        <v>320</v>
      </c>
      <c r="L11" s="219" t="str">
        <f>IF(COUNTBLANK(J8:J14)&gt;5,"",IF(J8&gt;J14,I8,I14))</f>
        <v/>
      </c>
      <c r="M11" s="330"/>
      <c r="N11" s="331"/>
    </row>
    <row r="12" spans="1:16" x14ac:dyDescent="0.2">
      <c r="A12" s="273" t="s">
        <v>550</v>
      </c>
      <c r="B12" s="279"/>
      <c r="C12" s="210" t="str">
        <f>IF(B12="","",VLOOKUP(B12,prezentace!A$2:E$200,5))</f>
        <v/>
      </c>
      <c r="D12" s="283"/>
      <c r="E12" s="330"/>
      <c r="F12" s="331"/>
      <c r="G12" s="332"/>
      <c r="H12" s="330"/>
      <c r="I12" s="331"/>
      <c r="J12" s="287"/>
      <c r="K12" s="330"/>
      <c r="L12" s="331"/>
      <c r="M12" s="330"/>
      <c r="N12" s="331"/>
    </row>
    <row r="13" spans="1:16" x14ac:dyDescent="0.2">
      <c r="A13" s="277" t="s">
        <v>555</v>
      </c>
      <c r="B13" s="280"/>
      <c r="C13" s="212" t="str">
        <f>IF(B13="","",VLOOKUP(B13,prezentace!A$2:E$200,5))</f>
        <v/>
      </c>
      <c r="D13" s="284"/>
      <c r="E13" s="273" t="s">
        <v>315</v>
      </c>
      <c r="F13" s="210" t="str">
        <f>IF(COUNTBLANK(D12:D13)&gt;0,"",IF(D12&gt;D13,C12,C13))</f>
        <v/>
      </c>
      <c r="G13" s="283"/>
      <c r="H13" s="373"/>
      <c r="I13" s="331"/>
      <c r="J13" s="287"/>
      <c r="K13" s="330"/>
      <c r="L13" s="331"/>
      <c r="M13" s="330"/>
      <c r="N13" s="331"/>
    </row>
    <row r="14" spans="1:16" x14ac:dyDescent="0.2">
      <c r="A14" s="39"/>
      <c r="B14" s="335"/>
      <c r="C14" s="331"/>
      <c r="D14" s="332"/>
      <c r="E14" s="330"/>
      <c r="F14" s="331"/>
      <c r="G14" s="287"/>
      <c r="H14" s="374" t="s">
        <v>319</v>
      </c>
      <c r="I14" s="212" t="str">
        <f>IF(COUNTBLANK(G13:G15)&gt;1,"",IF(G13&gt;G15,F13,F15))</f>
        <v/>
      </c>
      <c r="J14" s="284"/>
      <c r="K14" s="330"/>
      <c r="L14" s="338"/>
      <c r="M14" s="330"/>
      <c r="N14" s="331"/>
    </row>
    <row r="15" spans="1:16" x14ac:dyDescent="0.2">
      <c r="A15" s="273" t="s">
        <v>543</v>
      </c>
      <c r="B15" s="279"/>
      <c r="C15" s="210" t="str">
        <f>IF(B15="","",VLOOKUP(B15,prezentace!A$2:E$200,5))</f>
        <v/>
      </c>
      <c r="D15" s="283"/>
      <c r="E15" s="277" t="s">
        <v>315</v>
      </c>
      <c r="F15" s="212" t="str">
        <f>IF(COUNTBLANK(D15:D16)&gt;0,"",IF(D15&gt;D16,C15,C16))</f>
        <v/>
      </c>
      <c r="G15" s="284"/>
      <c r="H15" s="330"/>
      <c r="I15" s="331"/>
      <c r="J15" s="332"/>
      <c r="K15" s="330"/>
      <c r="L15" s="331"/>
      <c r="M15" s="330"/>
      <c r="N15" s="331"/>
    </row>
    <row r="16" spans="1:16" x14ac:dyDescent="0.2">
      <c r="A16" s="277" t="s">
        <v>546</v>
      </c>
      <c r="B16" s="280"/>
      <c r="C16" s="212" t="str">
        <f>IF(B16="","",VLOOKUP(B16,prezentace!A$2:E$200,5))</f>
        <v/>
      </c>
      <c r="D16" s="284"/>
      <c r="E16" s="330"/>
      <c r="F16" s="331"/>
      <c r="G16" s="332"/>
      <c r="H16" s="330"/>
      <c r="I16" s="331"/>
      <c r="J16" s="332"/>
      <c r="K16" s="330"/>
      <c r="L16" s="331"/>
      <c r="M16" s="330"/>
      <c r="N16" s="331"/>
    </row>
    <row r="17" spans="1:14" ht="15.75" x14ac:dyDescent="0.25">
      <c r="A17" s="32"/>
      <c r="B17" s="32"/>
      <c r="C17" s="331"/>
      <c r="D17" s="332"/>
      <c r="E17" s="330"/>
      <c r="F17" s="331"/>
      <c r="G17" s="332"/>
      <c r="H17" s="330"/>
      <c r="I17" s="331"/>
      <c r="J17" s="332"/>
      <c r="K17" s="330"/>
      <c r="L17" s="375"/>
      <c r="M17" s="330"/>
      <c r="N17" s="331"/>
    </row>
    <row r="18" spans="1:14" x14ac:dyDescent="0.2">
      <c r="A18" s="39"/>
      <c r="B18" s="39"/>
      <c r="C18" s="331"/>
      <c r="D18" s="332"/>
      <c r="E18" s="330"/>
      <c r="F18" s="331"/>
      <c r="G18" s="332"/>
      <c r="H18" s="330"/>
      <c r="I18" s="331"/>
      <c r="J18" s="332"/>
      <c r="K18" s="330"/>
      <c r="L18" s="331"/>
      <c r="M18" s="330"/>
      <c r="N18" s="331"/>
    </row>
    <row r="19" spans="1:14" x14ac:dyDescent="0.2">
      <c r="A19" s="39"/>
      <c r="B19" s="39"/>
      <c r="C19" s="331"/>
      <c r="D19" s="294"/>
      <c r="G19" s="294"/>
      <c r="J19" s="332"/>
      <c r="K19" s="330"/>
      <c r="L19" s="331"/>
      <c r="M19" s="330"/>
      <c r="N19" s="331"/>
    </row>
    <row r="20" spans="1:14" x14ac:dyDescent="0.2">
      <c r="A20" s="39"/>
      <c r="B20" s="39"/>
      <c r="C20" s="331"/>
      <c r="D20" s="294"/>
      <c r="G20" s="294"/>
      <c r="J20" s="332"/>
      <c r="K20" s="330"/>
      <c r="L20" s="331"/>
      <c r="M20" s="330"/>
      <c r="N20" s="331"/>
    </row>
    <row r="21" spans="1:14" x14ac:dyDescent="0.2">
      <c r="A21" s="39"/>
      <c r="B21" s="39"/>
      <c r="C21" s="331"/>
      <c r="J21" s="330"/>
      <c r="K21" s="330"/>
      <c r="L21" s="331"/>
      <c r="M21" s="330"/>
      <c r="N21" s="331"/>
    </row>
    <row r="22" spans="1:14" x14ac:dyDescent="0.2">
      <c r="A22" s="39"/>
      <c r="B22" s="39"/>
      <c r="C22" s="331"/>
      <c r="D22" s="330"/>
      <c r="E22" s="330"/>
      <c r="F22" s="331"/>
      <c r="G22" s="330"/>
      <c r="H22" s="330"/>
      <c r="I22" s="331"/>
      <c r="J22" s="330"/>
      <c r="K22" s="330"/>
      <c r="L22" s="331"/>
      <c r="M22" s="330"/>
      <c r="N22" s="331"/>
    </row>
    <row r="23" spans="1:14" x14ac:dyDescent="0.2">
      <c r="A23" s="39"/>
      <c r="B23" s="39"/>
      <c r="C23" s="331"/>
      <c r="D23" s="330"/>
      <c r="E23" s="330"/>
      <c r="F23" s="331"/>
      <c r="G23" s="333"/>
      <c r="H23" s="333"/>
      <c r="I23" s="331"/>
      <c r="J23" s="330"/>
      <c r="K23" s="330"/>
      <c r="L23" s="331"/>
      <c r="M23" s="330"/>
      <c r="N23" s="331"/>
    </row>
    <row r="24" spans="1:14" x14ac:dyDescent="0.2">
      <c r="A24" s="39"/>
      <c r="B24" s="39"/>
      <c r="C24" s="331"/>
      <c r="D24" s="330"/>
      <c r="E24" s="330"/>
      <c r="F24" s="331"/>
      <c r="G24" s="333"/>
      <c r="H24" s="333"/>
      <c r="I24" s="331"/>
      <c r="J24" s="330"/>
      <c r="K24" s="330"/>
      <c r="L24" s="331"/>
      <c r="M24" s="330"/>
      <c r="N24" s="331"/>
    </row>
    <row r="25" spans="1:14" x14ac:dyDescent="0.2">
      <c r="A25" s="39"/>
      <c r="B25" s="39"/>
      <c r="C25" s="331"/>
      <c r="D25" s="330"/>
      <c r="E25" s="330"/>
      <c r="F25" s="331"/>
      <c r="G25" s="333"/>
      <c r="H25" s="333"/>
      <c r="I25" s="331"/>
      <c r="J25" s="330"/>
      <c r="K25" s="330"/>
      <c r="L25" s="331"/>
      <c r="M25" s="330"/>
      <c r="N25" s="331"/>
    </row>
    <row r="26" spans="1:14" x14ac:dyDescent="0.2">
      <c r="A26" s="39"/>
      <c r="B26" s="39"/>
      <c r="C26" s="331"/>
      <c r="J26" s="330"/>
      <c r="K26" s="330"/>
      <c r="L26" s="331"/>
      <c r="M26" s="330"/>
      <c r="N26" s="331"/>
    </row>
    <row r="27" spans="1:14" x14ac:dyDescent="0.2">
      <c r="A27" s="39"/>
      <c r="B27" s="39"/>
      <c r="C27" s="331"/>
      <c r="J27" s="330"/>
      <c r="K27" s="330"/>
      <c r="L27" s="331"/>
      <c r="M27" s="330"/>
      <c r="N27" s="331"/>
    </row>
    <row r="28" spans="1:14" x14ac:dyDescent="0.2">
      <c r="A28" s="39"/>
      <c r="B28" s="39"/>
      <c r="C28" s="331"/>
      <c r="J28" s="330"/>
      <c r="K28" s="330"/>
      <c r="L28" s="331"/>
      <c r="M28" s="330"/>
      <c r="N28" s="331"/>
    </row>
    <row r="29" spans="1:14" x14ac:dyDescent="0.2">
      <c r="A29" s="39"/>
      <c r="B29" s="39"/>
      <c r="C29" s="331"/>
      <c r="D29" s="330"/>
      <c r="E29" s="330"/>
      <c r="F29" s="331"/>
      <c r="G29" s="333"/>
      <c r="H29" s="333"/>
      <c r="I29" s="331"/>
      <c r="J29" s="330"/>
      <c r="K29" s="330"/>
      <c r="L29" s="331"/>
      <c r="M29" s="330"/>
      <c r="N29" s="331"/>
    </row>
    <row r="30" spans="1:14" x14ac:dyDescent="0.2">
      <c r="A30" s="39"/>
      <c r="B30" s="39"/>
      <c r="C30" s="331"/>
      <c r="D30" s="330"/>
      <c r="E30" s="330"/>
      <c r="F30" s="331"/>
      <c r="G30" s="333"/>
      <c r="H30" s="333"/>
      <c r="I30" s="331"/>
      <c r="J30" s="330"/>
      <c r="K30" s="330"/>
      <c r="L30" s="331"/>
      <c r="M30" s="330"/>
      <c r="N30" s="331"/>
    </row>
    <row r="31" spans="1:14" x14ac:dyDescent="0.2">
      <c r="A31" s="39"/>
      <c r="B31" s="39"/>
      <c r="C31" s="331"/>
      <c r="D31" s="330"/>
      <c r="E31" s="330"/>
      <c r="F31" s="331"/>
      <c r="G31" s="333"/>
      <c r="H31" s="333"/>
      <c r="I31" s="331"/>
      <c r="J31" s="330"/>
      <c r="K31" s="330"/>
      <c r="L31" s="331"/>
      <c r="M31" s="330"/>
      <c r="N31" s="331"/>
    </row>
    <row r="32" spans="1:14" x14ac:dyDescent="0.2">
      <c r="A32" s="39"/>
      <c r="B32" s="39"/>
      <c r="C32" s="331"/>
      <c r="D32" s="330"/>
      <c r="E32" s="330"/>
      <c r="F32" s="331"/>
      <c r="G32" s="333"/>
      <c r="H32" s="333"/>
      <c r="I32" s="331"/>
      <c r="J32" s="330"/>
      <c r="K32" s="330"/>
      <c r="L32" s="331"/>
      <c r="M32" s="330"/>
      <c r="N32" s="331"/>
    </row>
    <row r="33" spans="1:14" x14ac:dyDescent="0.2">
      <c r="A33" s="39"/>
      <c r="B33" s="39"/>
      <c r="C33" s="331"/>
      <c r="D33" s="330"/>
      <c r="E33" s="330"/>
      <c r="F33" s="331"/>
      <c r="G33" s="333"/>
      <c r="H33" s="333"/>
      <c r="I33" s="331"/>
      <c r="J33" s="330"/>
      <c r="K33" s="330"/>
      <c r="L33" s="331"/>
      <c r="M33" s="330"/>
      <c r="N33" s="331"/>
    </row>
    <row r="34" spans="1:14" x14ac:dyDescent="0.2">
      <c r="A34" s="39"/>
      <c r="B34" s="39"/>
      <c r="C34" s="331"/>
      <c r="D34" s="330"/>
      <c r="E34" s="330"/>
      <c r="F34" s="331"/>
      <c r="G34" s="333"/>
      <c r="H34" s="333"/>
      <c r="I34" s="331"/>
      <c r="J34" s="330"/>
      <c r="K34" s="330"/>
      <c r="L34" s="331"/>
      <c r="M34" s="330"/>
      <c r="N34" s="331"/>
    </row>
    <row r="35" spans="1:14" x14ac:dyDescent="0.2">
      <c r="A35" s="39"/>
      <c r="B35" s="39"/>
      <c r="C35" s="331"/>
      <c r="D35" s="330"/>
      <c r="E35" s="330"/>
      <c r="F35" s="331"/>
      <c r="G35" s="333"/>
      <c r="H35" s="333"/>
      <c r="I35" s="331"/>
      <c r="J35" s="330"/>
      <c r="K35" s="330"/>
      <c r="L35" s="331"/>
      <c r="M35" s="330"/>
      <c r="N35" s="331"/>
    </row>
    <row r="36" spans="1:14" x14ac:dyDescent="0.2">
      <c r="A36" s="39"/>
      <c r="B36" s="39"/>
      <c r="C36" s="331"/>
      <c r="D36" s="330"/>
      <c r="E36" s="330"/>
      <c r="F36" s="331"/>
      <c r="G36" s="333"/>
      <c r="H36" s="333"/>
      <c r="I36" s="331"/>
      <c r="J36" s="330"/>
      <c r="K36" s="330"/>
      <c r="L36" s="331"/>
      <c r="M36" s="330"/>
      <c r="N36" s="331"/>
    </row>
    <row r="37" spans="1:14" x14ac:dyDescent="0.2">
      <c r="A37" s="39"/>
      <c r="B37" s="39"/>
      <c r="C37" s="331"/>
      <c r="D37" s="330"/>
      <c r="E37" s="330"/>
      <c r="F37" s="331"/>
      <c r="G37" s="333"/>
      <c r="H37" s="333"/>
      <c r="I37" s="331"/>
      <c r="J37" s="330"/>
      <c r="K37" s="330"/>
      <c r="L37" s="331"/>
      <c r="M37" s="330"/>
      <c r="N37" s="331"/>
    </row>
    <row r="38" spans="1:14" x14ac:dyDescent="0.2">
      <c r="A38" s="39"/>
      <c r="B38" s="39"/>
      <c r="C38" s="331"/>
      <c r="D38" s="330"/>
      <c r="E38" s="330"/>
      <c r="F38" s="331"/>
      <c r="G38" s="333"/>
      <c r="H38" s="333"/>
      <c r="I38" s="331"/>
      <c r="J38" s="330"/>
      <c r="K38" s="330"/>
      <c r="L38" s="331"/>
      <c r="M38" s="330"/>
      <c r="N38" s="331"/>
    </row>
    <row r="39" spans="1:14" x14ac:dyDescent="0.2">
      <c r="A39" s="39"/>
      <c r="B39" s="39"/>
      <c r="C39" s="331"/>
      <c r="D39" s="330"/>
      <c r="E39" s="330"/>
      <c r="F39" s="331"/>
      <c r="G39" s="333"/>
      <c r="H39" s="333"/>
      <c r="I39" s="331"/>
      <c r="J39" s="330"/>
      <c r="K39" s="330"/>
      <c r="L39" s="331"/>
      <c r="M39" s="369"/>
      <c r="N39" s="331"/>
    </row>
    <row r="40" spans="1:14" x14ac:dyDescent="0.2">
      <c r="A40" s="39"/>
      <c r="B40" s="39"/>
      <c r="C40" s="331"/>
      <c r="D40" s="330"/>
      <c r="E40" s="330"/>
      <c r="F40" s="331"/>
      <c r="G40" s="333"/>
      <c r="H40" s="333"/>
      <c r="I40" s="331"/>
      <c r="J40" s="330"/>
      <c r="K40" s="330"/>
      <c r="L40" s="331"/>
      <c r="M40" s="369"/>
      <c r="N40" s="331"/>
    </row>
  </sheetData>
  <mergeCells count="8">
    <mergeCell ref="A1:L1"/>
    <mergeCell ref="A2:L2"/>
    <mergeCell ref="A3:L3"/>
    <mergeCell ref="A4:L4"/>
    <mergeCell ref="A5:D5"/>
    <mergeCell ref="E5:G5"/>
    <mergeCell ref="H5:J5"/>
    <mergeCell ref="K5:L5"/>
  </mergeCells>
  <pageMargins left="0.39370078740157483" right="0.39370078740157483" top="0.78740157480314965" bottom="0.78740157480314965" header="0.31496062992125984" footer="0.31496062992125984"/>
  <pageSetup paperSize="9" scale="10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E4F4-50DE-448E-AD3A-C39AFCAD0E93}">
  <dimension ref="A1:S28"/>
  <sheetViews>
    <sheetView showGridLines="0" view="pageBreakPreview" zoomScaleNormal="100" zoomScaleSheetLayoutView="100" workbookViewId="0">
      <selection activeCell="H5" sqref="H5:J5"/>
    </sheetView>
  </sheetViews>
  <sheetFormatPr defaultRowHeight="12.75" x14ac:dyDescent="0.2"/>
  <cols>
    <col min="1" max="1" width="6.85546875" style="363" customWidth="1"/>
    <col min="2" max="2" width="5.5703125" style="363" bestFit="1" customWidth="1"/>
    <col min="3" max="4" width="23.85546875" style="364" customWidth="1"/>
    <col min="5" max="9" width="6.5703125" style="354" customWidth="1"/>
    <col min="10" max="10" width="9.42578125" style="365" customWidth="1"/>
    <col min="11" max="11" width="5.42578125" style="353" bestFit="1" customWidth="1"/>
    <col min="12" max="12" width="21.140625" style="353" customWidth="1"/>
    <col min="13" max="13" width="15" style="353" customWidth="1"/>
    <col min="14" max="14" width="15" style="354" customWidth="1"/>
    <col min="15" max="15" width="27.140625" style="354" bestFit="1" customWidth="1"/>
    <col min="16" max="18" width="5.7109375" style="354" bestFit="1" customWidth="1"/>
    <col min="19" max="19" width="8.140625" style="365" bestFit="1" customWidth="1"/>
    <col min="20" max="16384" width="9.140625" style="354"/>
  </cols>
  <sheetData>
    <row r="1" spans="1:14" ht="14.45" customHeight="1" x14ac:dyDescent="0.2">
      <c r="A1" s="348" t="s">
        <v>57</v>
      </c>
      <c r="B1" s="349" t="s">
        <v>60</v>
      </c>
      <c r="C1" s="350" t="s">
        <v>96</v>
      </c>
      <c r="D1" s="350" t="s">
        <v>97</v>
      </c>
      <c r="E1" s="351" t="s">
        <v>162</v>
      </c>
      <c r="F1" s="351" t="s">
        <v>163</v>
      </c>
      <c r="G1" s="351" t="s">
        <v>164</v>
      </c>
      <c r="H1" s="351" t="s">
        <v>221</v>
      </c>
      <c r="I1" s="351" t="s">
        <v>220</v>
      </c>
      <c r="J1" s="352" t="s">
        <v>161</v>
      </c>
    </row>
    <row r="2" spans="1:14" ht="23.25" x14ac:dyDescent="0.2">
      <c r="A2" s="355" t="s">
        <v>110</v>
      </c>
      <c r="B2" s="356"/>
      <c r="C2" s="357"/>
      <c r="D2" s="357"/>
      <c r="E2" s="358"/>
      <c r="F2" s="359"/>
      <c r="G2" s="359"/>
      <c r="H2" s="359"/>
      <c r="I2" s="359"/>
      <c r="J2" s="360"/>
    </row>
    <row r="3" spans="1:14" ht="24" thickBot="1" x14ac:dyDescent="0.25">
      <c r="A3" s="425" t="s">
        <v>165</v>
      </c>
      <c r="B3" s="426"/>
      <c r="C3" s="361"/>
      <c r="D3" s="362" t="s">
        <v>166</v>
      </c>
      <c r="E3" s="427"/>
      <c r="F3" s="427"/>
      <c r="G3" s="427"/>
      <c r="H3" s="427"/>
      <c r="I3" s="427"/>
      <c r="J3" s="428"/>
    </row>
    <row r="4" spans="1:14" ht="13.5" thickBot="1" x14ac:dyDescent="0.25"/>
    <row r="5" spans="1:14" ht="14.45" customHeight="1" x14ac:dyDescent="0.2">
      <c r="A5" s="348" t="s">
        <v>57</v>
      </c>
      <c r="B5" s="349" t="s">
        <v>60</v>
      </c>
      <c r="C5" s="350" t="s">
        <v>96</v>
      </c>
      <c r="D5" s="350" t="s">
        <v>97</v>
      </c>
      <c r="E5" s="351" t="s">
        <v>162</v>
      </c>
      <c r="F5" s="351" t="s">
        <v>163</v>
      </c>
      <c r="G5" s="351" t="s">
        <v>164</v>
      </c>
      <c r="H5" s="351" t="s">
        <v>221</v>
      </c>
      <c r="I5" s="351" t="s">
        <v>220</v>
      </c>
      <c r="J5" s="352" t="s">
        <v>161</v>
      </c>
    </row>
    <row r="6" spans="1:14" ht="23.25" x14ac:dyDescent="0.2">
      <c r="A6" s="355" t="s">
        <v>110</v>
      </c>
      <c r="B6" s="356"/>
      <c r="C6" s="357"/>
      <c r="D6" s="357"/>
      <c r="E6" s="359"/>
      <c r="F6" s="359"/>
      <c r="G6" s="359"/>
      <c r="H6" s="359"/>
      <c r="I6" s="359"/>
      <c r="J6" s="360"/>
      <c r="N6" s="366"/>
    </row>
    <row r="7" spans="1:14" ht="24" thickBot="1" x14ac:dyDescent="0.25">
      <c r="A7" s="425" t="s">
        <v>165</v>
      </c>
      <c r="B7" s="426"/>
      <c r="C7" s="361"/>
      <c r="D7" s="362" t="s">
        <v>166</v>
      </c>
      <c r="E7" s="427"/>
      <c r="F7" s="427"/>
      <c r="G7" s="427"/>
      <c r="H7" s="427"/>
      <c r="I7" s="427"/>
      <c r="J7" s="428"/>
    </row>
    <row r="8" spans="1:14" ht="12" customHeight="1" thickBot="1" x14ac:dyDescent="0.25">
      <c r="A8" s="367"/>
    </row>
    <row r="9" spans="1:14" ht="14.45" customHeight="1" x14ac:dyDescent="0.2">
      <c r="A9" s="348" t="s">
        <v>57</v>
      </c>
      <c r="B9" s="349" t="s">
        <v>60</v>
      </c>
      <c r="C9" s="350" t="s">
        <v>96</v>
      </c>
      <c r="D9" s="350" t="s">
        <v>97</v>
      </c>
      <c r="E9" s="351" t="s">
        <v>162</v>
      </c>
      <c r="F9" s="351" t="s">
        <v>163</v>
      </c>
      <c r="G9" s="351" t="s">
        <v>164</v>
      </c>
      <c r="H9" s="351" t="s">
        <v>221</v>
      </c>
      <c r="I9" s="351" t="s">
        <v>220</v>
      </c>
      <c r="J9" s="352" t="s">
        <v>161</v>
      </c>
    </row>
    <row r="10" spans="1:14" ht="23.25" x14ac:dyDescent="0.2">
      <c r="A10" s="355" t="s">
        <v>110</v>
      </c>
      <c r="B10" s="356"/>
      <c r="C10" s="357"/>
      <c r="D10" s="357"/>
      <c r="E10" s="359"/>
      <c r="F10" s="359"/>
      <c r="G10" s="359"/>
      <c r="H10" s="359"/>
      <c r="I10" s="359"/>
      <c r="J10" s="360"/>
    </row>
    <row r="11" spans="1:14" ht="24" thickBot="1" x14ac:dyDescent="0.25">
      <c r="A11" s="425" t="s">
        <v>165</v>
      </c>
      <c r="B11" s="426"/>
      <c r="C11" s="361"/>
      <c r="D11" s="362" t="s">
        <v>166</v>
      </c>
      <c r="E11" s="427"/>
      <c r="F11" s="427"/>
      <c r="G11" s="427"/>
      <c r="H11" s="427"/>
      <c r="I11" s="427"/>
      <c r="J11" s="428"/>
    </row>
    <row r="12" spans="1:14" ht="12" customHeight="1" thickBot="1" x14ac:dyDescent="0.25"/>
    <row r="13" spans="1:14" ht="14.45" customHeight="1" x14ac:dyDescent="0.2">
      <c r="A13" s="348" t="s">
        <v>57</v>
      </c>
      <c r="B13" s="349" t="s">
        <v>60</v>
      </c>
      <c r="C13" s="350" t="s">
        <v>96</v>
      </c>
      <c r="D13" s="350" t="s">
        <v>97</v>
      </c>
      <c r="E13" s="351" t="s">
        <v>162</v>
      </c>
      <c r="F13" s="351" t="s">
        <v>163</v>
      </c>
      <c r="G13" s="351" t="s">
        <v>164</v>
      </c>
      <c r="H13" s="351" t="s">
        <v>221</v>
      </c>
      <c r="I13" s="351" t="s">
        <v>220</v>
      </c>
      <c r="J13" s="352" t="s">
        <v>161</v>
      </c>
    </row>
    <row r="14" spans="1:14" ht="23.25" x14ac:dyDescent="0.2">
      <c r="A14" s="355" t="s">
        <v>110</v>
      </c>
      <c r="B14" s="356"/>
      <c r="C14" s="357"/>
      <c r="D14" s="357"/>
      <c r="E14" s="359"/>
      <c r="F14" s="359"/>
      <c r="G14" s="359"/>
      <c r="H14" s="359"/>
      <c r="I14" s="359"/>
      <c r="J14" s="360"/>
    </row>
    <row r="15" spans="1:14" ht="24" thickBot="1" x14ac:dyDescent="0.25">
      <c r="A15" s="425" t="s">
        <v>165</v>
      </c>
      <c r="B15" s="426"/>
      <c r="C15" s="361"/>
      <c r="D15" s="362" t="s">
        <v>166</v>
      </c>
      <c r="E15" s="427"/>
      <c r="F15" s="427"/>
      <c r="G15" s="427"/>
      <c r="H15" s="427"/>
      <c r="I15" s="427"/>
      <c r="J15" s="428"/>
    </row>
    <row r="16" spans="1:14" ht="12" customHeight="1" thickBot="1" x14ac:dyDescent="0.25">
      <c r="A16" s="367"/>
    </row>
    <row r="17" spans="1:19" ht="14.45" customHeight="1" x14ac:dyDescent="0.2">
      <c r="A17" s="348" t="s">
        <v>57</v>
      </c>
      <c r="B17" s="349" t="s">
        <v>60</v>
      </c>
      <c r="C17" s="350" t="s">
        <v>96</v>
      </c>
      <c r="D17" s="350" t="s">
        <v>97</v>
      </c>
      <c r="E17" s="351" t="s">
        <v>162</v>
      </c>
      <c r="F17" s="351" t="s">
        <v>163</v>
      </c>
      <c r="G17" s="351" t="s">
        <v>164</v>
      </c>
      <c r="H17" s="351" t="s">
        <v>221</v>
      </c>
      <c r="I17" s="351" t="s">
        <v>220</v>
      </c>
      <c r="J17" s="352" t="s">
        <v>161</v>
      </c>
    </row>
    <row r="18" spans="1:19" ht="23.25" x14ac:dyDescent="0.2">
      <c r="A18" s="355" t="str">
        <f>'B-8H-pavouk'!E7</f>
        <v>1-4</v>
      </c>
      <c r="B18" s="356"/>
      <c r="C18" s="357"/>
      <c r="D18" s="357"/>
      <c r="E18" s="359"/>
      <c r="F18" s="359"/>
      <c r="G18" s="359"/>
      <c r="H18" s="359"/>
      <c r="I18" s="359"/>
      <c r="J18" s="360"/>
    </row>
    <row r="19" spans="1:19" ht="24" thickBot="1" x14ac:dyDescent="0.25">
      <c r="A19" s="425" t="s">
        <v>165</v>
      </c>
      <c r="B19" s="426"/>
      <c r="C19" s="361"/>
      <c r="D19" s="362" t="s">
        <v>166</v>
      </c>
      <c r="E19" s="427"/>
      <c r="F19" s="427"/>
      <c r="G19" s="427"/>
      <c r="H19" s="427"/>
      <c r="I19" s="427"/>
      <c r="J19" s="428"/>
    </row>
    <row r="20" spans="1:19" ht="13.5" thickBot="1" x14ac:dyDescent="0.25"/>
    <row r="21" spans="1:19" ht="14.45" customHeight="1" x14ac:dyDescent="0.2">
      <c r="A21" s="348" t="s">
        <v>57</v>
      </c>
      <c r="B21" s="349" t="s">
        <v>60</v>
      </c>
      <c r="C21" s="350" t="s">
        <v>96</v>
      </c>
      <c r="D21" s="350" t="s">
        <v>97</v>
      </c>
      <c r="E21" s="351" t="s">
        <v>162</v>
      </c>
      <c r="F21" s="351" t="s">
        <v>163</v>
      </c>
      <c r="G21" s="351" t="s">
        <v>164</v>
      </c>
      <c r="H21" s="351" t="s">
        <v>221</v>
      </c>
      <c r="I21" s="351" t="s">
        <v>220</v>
      </c>
      <c r="J21" s="352" t="s">
        <v>161</v>
      </c>
    </row>
    <row r="22" spans="1:19" ht="23.25" x14ac:dyDescent="0.2">
      <c r="A22" s="355" t="str">
        <f>'B-8H-pavouk'!E13</f>
        <v>1-4</v>
      </c>
      <c r="B22" s="356"/>
      <c r="C22" s="357"/>
      <c r="D22" s="357"/>
      <c r="E22" s="359"/>
      <c r="F22" s="359"/>
      <c r="G22" s="359"/>
      <c r="H22" s="359"/>
      <c r="I22" s="359"/>
      <c r="J22" s="360"/>
    </row>
    <row r="23" spans="1:19" ht="24" thickBot="1" x14ac:dyDescent="0.25">
      <c r="A23" s="425" t="s">
        <v>165</v>
      </c>
      <c r="B23" s="426"/>
      <c r="C23" s="361"/>
      <c r="D23" s="362" t="s">
        <v>166</v>
      </c>
      <c r="E23" s="427"/>
      <c r="F23" s="427"/>
      <c r="G23" s="427"/>
      <c r="H23" s="427"/>
      <c r="I23" s="427"/>
      <c r="J23" s="428"/>
    </row>
    <row r="24" spans="1:19" ht="12" customHeight="1" x14ac:dyDescent="0.2">
      <c r="A24" s="367"/>
    </row>
    <row r="25" spans="1:19" s="353" customFormat="1" ht="13.5" thickBot="1" x14ac:dyDescent="0.25">
      <c r="A25" s="367"/>
      <c r="B25" s="363"/>
      <c r="C25" s="364"/>
      <c r="D25" s="364"/>
      <c r="E25" s="354"/>
      <c r="F25" s="354"/>
      <c r="G25" s="354"/>
      <c r="H25" s="354"/>
      <c r="I25" s="354"/>
      <c r="J25" s="365"/>
      <c r="N25" s="354"/>
      <c r="O25" s="354"/>
      <c r="P25" s="354"/>
      <c r="Q25" s="354"/>
      <c r="R25" s="354"/>
      <c r="S25" s="365"/>
    </row>
    <row r="26" spans="1:19" s="353" customFormat="1" x14ac:dyDescent="0.2">
      <c r="A26" s="348" t="s">
        <v>57</v>
      </c>
      <c r="B26" s="349" t="s">
        <v>60</v>
      </c>
      <c r="C26" s="350" t="s">
        <v>96</v>
      </c>
      <c r="D26" s="350" t="s">
        <v>97</v>
      </c>
      <c r="E26" s="351" t="s">
        <v>162</v>
      </c>
      <c r="F26" s="351" t="s">
        <v>163</v>
      </c>
      <c r="G26" s="351" t="s">
        <v>164</v>
      </c>
      <c r="H26" s="351" t="s">
        <v>221</v>
      </c>
      <c r="I26" s="351" t="s">
        <v>220</v>
      </c>
      <c r="J26" s="352" t="s">
        <v>161</v>
      </c>
      <c r="N26" s="354"/>
      <c r="O26" s="354"/>
      <c r="P26" s="354"/>
      <c r="Q26" s="354"/>
      <c r="R26" s="354"/>
      <c r="S26" s="365"/>
    </row>
    <row r="27" spans="1:19" s="353" customFormat="1" ht="23.25" x14ac:dyDescent="0.2">
      <c r="A27" s="355" t="str">
        <f>'B-8H-pavouk'!H8</f>
        <v>1-2</v>
      </c>
      <c r="B27" s="356"/>
      <c r="C27" s="357"/>
      <c r="D27" s="357"/>
      <c r="E27" s="359"/>
      <c r="F27" s="359"/>
      <c r="G27" s="359"/>
      <c r="H27" s="359"/>
      <c r="I27" s="359"/>
      <c r="J27" s="360"/>
      <c r="N27" s="354"/>
      <c r="O27" s="354"/>
      <c r="P27" s="354"/>
      <c r="Q27" s="354"/>
      <c r="R27" s="354"/>
      <c r="S27" s="365"/>
    </row>
    <row r="28" spans="1:19" s="353" customFormat="1" ht="24" thickBot="1" x14ac:dyDescent="0.25">
      <c r="A28" s="425" t="s">
        <v>165</v>
      </c>
      <c r="B28" s="426"/>
      <c r="C28" s="361"/>
      <c r="D28" s="362" t="s">
        <v>166</v>
      </c>
      <c r="E28" s="427"/>
      <c r="F28" s="427"/>
      <c r="G28" s="427"/>
      <c r="H28" s="427"/>
      <c r="I28" s="427"/>
      <c r="J28" s="428"/>
      <c r="N28" s="354"/>
      <c r="O28" s="354"/>
      <c r="P28" s="354"/>
      <c r="Q28" s="354"/>
      <c r="R28" s="354"/>
      <c r="S28" s="365"/>
    </row>
  </sheetData>
  <mergeCells count="14">
    <mergeCell ref="A3:B3"/>
    <mergeCell ref="E3:J3"/>
    <mergeCell ref="A7:B7"/>
    <mergeCell ref="E7:J7"/>
    <mergeCell ref="A11:B11"/>
    <mergeCell ref="E11:J11"/>
    <mergeCell ref="A28:B28"/>
    <mergeCell ref="E28:J28"/>
    <mergeCell ref="A15:B15"/>
    <mergeCell ref="E15:J15"/>
    <mergeCell ref="A19:B19"/>
    <mergeCell ref="E19:J19"/>
    <mergeCell ref="A23:B23"/>
    <mergeCell ref="E23:J23"/>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2D322-8E51-4672-B70C-74D6E25EF574}">
  <dimension ref="A1:P41"/>
  <sheetViews>
    <sheetView view="pageBreakPreview" zoomScale="145" zoomScaleNormal="145" zoomScaleSheetLayoutView="145" workbookViewId="0">
      <pane ySplit="5" topLeftCell="A6" activePane="bottomLeft" state="frozen"/>
      <selection activeCell="H5" sqref="H5:J5"/>
      <selection pane="bottomLeft" activeCell="H5" sqref="H5:J5"/>
    </sheetView>
  </sheetViews>
  <sheetFormatPr defaultRowHeight="12.75" x14ac:dyDescent="0.2"/>
  <cols>
    <col min="1" max="2" width="3.7109375" customWidth="1"/>
    <col min="3" max="3" width="24.7109375" customWidth="1"/>
    <col min="4" max="5" width="3.7109375" customWidth="1"/>
    <col min="6" max="6" width="24.7109375" customWidth="1"/>
    <col min="7" max="8" width="3.7109375" customWidth="1"/>
    <col min="9" max="9" width="24.7109375" customWidth="1"/>
    <col min="10" max="11" width="3.7109375" customWidth="1"/>
    <col min="12" max="12" width="24.7109375" customWidth="1"/>
    <col min="13" max="13" width="3.7109375" customWidth="1"/>
    <col min="14" max="14" width="24.7109375" customWidth="1"/>
    <col min="15" max="15" width="3.7109375" customWidth="1"/>
    <col min="16" max="16" width="24.7109375" customWidth="1"/>
    <col min="17" max="17" width="3.7109375" customWidth="1"/>
  </cols>
  <sheetData>
    <row r="1" spans="1:16" ht="15" x14ac:dyDescent="0.2">
      <c r="A1" s="433" t="s">
        <v>591</v>
      </c>
      <c r="B1" s="433"/>
      <c r="C1" s="433"/>
      <c r="D1" s="433"/>
      <c r="E1" s="433"/>
      <c r="F1" s="433"/>
      <c r="G1" s="433"/>
      <c r="H1" s="433"/>
      <c r="I1" s="433"/>
      <c r="J1" s="433"/>
      <c r="K1" s="433"/>
      <c r="L1" s="433"/>
    </row>
    <row r="2" spans="1:16" ht="15" x14ac:dyDescent="0.2">
      <c r="A2" s="433" t="s">
        <v>631</v>
      </c>
      <c r="B2" s="433"/>
      <c r="C2" s="433"/>
      <c r="D2" s="433"/>
      <c r="E2" s="433"/>
      <c r="F2" s="433"/>
      <c r="G2" s="433"/>
      <c r="H2" s="433"/>
      <c r="I2" s="433"/>
      <c r="J2" s="433"/>
      <c r="K2" s="433"/>
      <c r="L2" s="433"/>
    </row>
    <row r="3" spans="1:16" ht="15" x14ac:dyDescent="0.2">
      <c r="A3" s="433"/>
      <c r="B3" s="433"/>
      <c r="C3" s="433"/>
      <c r="D3" s="433"/>
      <c r="E3" s="433"/>
      <c r="F3" s="433"/>
      <c r="G3" s="433"/>
      <c r="H3" s="433"/>
      <c r="I3" s="433"/>
      <c r="J3" s="433"/>
      <c r="K3" s="433"/>
      <c r="L3" s="433"/>
    </row>
    <row r="4" spans="1:16" ht="15" x14ac:dyDescent="0.2">
      <c r="A4" s="433"/>
      <c r="B4" s="433"/>
      <c r="C4" s="433"/>
      <c r="D4" s="433"/>
      <c r="E4" s="433"/>
      <c r="F4" s="433"/>
      <c r="G4" s="433"/>
      <c r="H4" s="433"/>
      <c r="I4" s="433"/>
      <c r="J4" s="433"/>
      <c r="K4" s="433"/>
      <c r="L4" s="433"/>
    </row>
    <row r="5" spans="1:16" x14ac:dyDescent="0.2">
      <c r="A5" s="434" t="s">
        <v>630</v>
      </c>
      <c r="B5" s="434"/>
      <c r="C5" s="434"/>
      <c r="D5" s="434"/>
      <c r="E5" s="436" t="s">
        <v>227</v>
      </c>
      <c r="F5" s="436"/>
      <c r="G5" s="436"/>
      <c r="H5" s="436" t="s">
        <v>225</v>
      </c>
      <c r="I5" s="436"/>
      <c r="J5" s="436"/>
      <c r="K5" s="436" t="s">
        <v>224</v>
      </c>
      <c r="L5" s="436"/>
      <c r="M5" s="370"/>
      <c r="N5" s="368"/>
      <c r="P5" s="368"/>
    </row>
    <row r="6" spans="1:16" x14ac:dyDescent="0.2">
      <c r="A6" s="273" t="s">
        <v>544</v>
      </c>
      <c r="B6" s="279"/>
      <c r="C6" s="210" t="str">
        <f>IF(B6="","",VLOOKUP(B6,prezentace!A$2:E$200,5))</f>
        <v/>
      </c>
      <c r="D6" s="283"/>
      <c r="E6" s="330"/>
      <c r="F6" s="331"/>
      <c r="G6" s="371"/>
      <c r="H6" s="333"/>
      <c r="I6" s="331"/>
      <c r="J6" s="332"/>
      <c r="K6" s="330"/>
      <c r="L6" s="331"/>
      <c r="M6" s="369"/>
      <c r="N6" s="331"/>
    </row>
    <row r="7" spans="1:16" x14ac:dyDescent="0.2">
      <c r="A7" s="277" t="s">
        <v>553</v>
      </c>
      <c r="B7" s="280"/>
      <c r="C7" s="212" t="str">
        <f>IF(B7="","",VLOOKUP(B7,prezentace!A$2:E$200,5))</f>
        <v/>
      </c>
      <c r="D7" s="284"/>
      <c r="E7" s="273" t="s">
        <v>316</v>
      </c>
      <c r="F7" s="210" t="str">
        <f>IF(COUNTBLANK(D6:D7)&gt;0,"",IF(D6&gt;D7,C6,C7))</f>
        <v/>
      </c>
      <c r="G7" s="283"/>
      <c r="H7" s="330"/>
      <c r="I7" s="331"/>
      <c r="J7" s="332"/>
      <c r="K7" s="330"/>
      <c r="L7" s="331"/>
      <c r="M7" s="369"/>
      <c r="N7" s="331"/>
    </row>
    <row r="8" spans="1:16" x14ac:dyDescent="0.2">
      <c r="A8" s="39"/>
      <c r="B8" s="335"/>
      <c r="C8" s="331"/>
      <c r="D8" s="332"/>
      <c r="E8" s="330"/>
      <c r="F8" s="331"/>
      <c r="G8" s="287"/>
      <c r="H8" s="372" t="s">
        <v>317</v>
      </c>
      <c r="I8" s="210" t="str">
        <f>IF(COUNTBLANK(G7:G9)&gt;1,"",IF(G7&gt;G9,F7,F9))</f>
        <v/>
      </c>
      <c r="J8" s="283"/>
      <c r="K8" s="330"/>
      <c r="L8" s="331"/>
      <c r="M8" s="330"/>
      <c r="N8" s="331"/>
    </row>
    <row r="9" spans="1:16" x14ac:dyDescent="0.2">
      <c r="A9" s="273" t="s">
        <v>549</v>
      </c>
      <c r="B9" s="279"/>
      <c r="C9" s="210" t="str">
        <f>IF(B9="","",VLOOKUP(B9,prezentace!A$2:E$200,5))</f>
        <v/>
      </c>
      <c r="D9" s="283"/>
      <c r="E9" s="277" t="s">
        <v>316</v>
      </c>
      <c r="F9" s="212" t="str">
        <f>IF(COUNTBLANK(D9:D10)&gt;0,"",IF(D9&gt;D10,C9,C10))</f>
        <v/>
      </c>
      <c r="G9" s="284"/>
      <c r="H9" s="330"/>
      <c r="I9" s="331"/>
      <c r="J9" s="287"/>
      <c r="K9" s="330"/>
      <c r="L9" s="331"/>
      <c r="M9" s="369"/>
      <c r="N9" s="331"/>
    </row>
    <row r="10" spans="1:16" x14ac:dyDescent="0.2">
      <c r="A10" s="277" t="s">
        <v>556</v>
      </c>
      <c r="B10" s="280"/>
      <c r="C10" s="212" t="str">
        <f>IF(B10="","",VLOOKUP(B10,prezentace!A$2:E$200,5))</f>
        <v/>
      </c>
      <c r="D10" s="284"/>
      <c r="E10" s="330"/>
      <c r="F10" s="331"/>
      <c r="G10" s="332"/>
      <c r="H10" s="330"/>
      <c r="I10" s="331"/>
      <c r="J10" s="287"/>
      <c r="K10" s="330"/>
      <c r="L10" s="331"/>
      <c r="M10" s="330"/>
      <c r="N10" s="331"/>
    </row>
    <row r="11" spans="1:16" x14ac:dyDescent="0.2">
      <c r="A11" s="39"/>
      <c r="B11" s="335"/>
      <c r="C11" s="331"/>
      <c r="D11" s="332"/>
      <c r="E11" s="330"/>
      <c r="F11" s="331"/>
      <c r="G11" s="332"/>
      <c r="H11" s="330"/>
      <c r="I11" s="331"/>
      <c r="J11" s="287"/>
      <c r="K11" s="336" t="s">
        <v>632</v>
      </c>
      <c r="L11" s="219" t="str">
        <f>IF(COUNTBLANK(J8:J14)&gt;5,"",IF(J8&gt;J14,I8,I14))</f>
        <v/>
      </c>
      <c r="M11" s="330"/>
      <c r="N11" s="331"/>
    </row>
    <row r="12" spans="1:16" x14ac:dyDescent="0.2">
      <c r="A12" s="273" t="s">
        <v>552</v>
      </c>
      <c r="B12" s="279"/>
      <c r="C12" s="210" t="str">
        <f>IF(B12="","",VLOOKUP(B12,prezentace!A$2:E$200,5))</f>
        <v/>
      </c>
      <c r="D12" s="283"/>
      <c r="E12" s="330"/>
      <c r="F12" s="331"/>
      <c r="G12" s="332"/>
      <c r="H12" s="330"/>
      <c r="I12" s="331"/>
      <c r="J12" s="287"/>
      <c r="K12" s="330"/>
      <c r="L12" s="331"/>
      <c r="M12" s="330"/>
      <c r="N12" s="331"/>
    </row>
    <row r="13" spans="1:16" x14ac:dyDescent="0.2">
      <c r="A13" s="277" t="s">
        <v>557</v>
      </c>
      <c r="B13" s="280"/>
      <c r="C13" s="212" t="str">
        <f>IF(B13="","",VLOOKUP(B13,prezentace!A$2:E$200,5))</f>
        <v/>
      </c>
      <c r="D13" s="284"/>
      <c r="E13" s="273" t="s">
        <v>316</v>
      </c>
      <c r="F13" s="210" t="str">
        <f>IF(COUNTBLANK(D12:D13)&gt;0,"",IF(D12&gt;D13,C12,C13))</f>
        <v/>
      </c>
      <c r="G13" s="283"/>
      <c r="H13" s="330"/>
      <c r="I13" s="331"/>
      <c r="J13" s="287"/>
      <c r="K13" s="330"/>
      <c r="L13" s="331"/>
      <c r="M13" s="330"/>
      <c r="N13" s="331"/>
    </row>
    <row r="14" spans="1:16" x14ac:dyDescent="0.2">
      <c r="A14" s="39"/>
      <c r="B14" s="335"/>
      <c r="C14" s="331"/>
      <c r="D14" s="332"/>
      <c r="E14" s="330"/>
      <c r="F14" s="331"/>
      <c r="G14" s="287"/>
      <c r="H14" s="374" t="s">
        <v>317</v>
      </c>
      <c r="I14" s="212" t="str">
        <f>IF(COUNTBLANK(G13:G15)&gt;1,"",IF(G13&gt;G15,F13,F15))</f>
        <v/>
      </c>
      <c r="J14" s="284"/>
      <c r="K14" s="330"/>
      <c r="L14" s="338"/>
      <c r="M14" s="330"/>
      <c r="N14" s="331"/>
    </row>
    <row r="15" spans="1:16" x14ac:dyDescent="0.2">
      <c r="A15" s="273" t="s">
        <v>545</v>
      </c>
      <c r="B15" s="279"/>
      <c r="C15" s="210" t="str">
        <f>IF(B15="","",VLOOKUP(B15,prezentace!A$2:E$200,5))</f>
        <v/>
      </c>
      <c r="D15" s="283"/>
      <c r="E15" s="277" t="s">
        <v>316</v>
      </c>
      <c r="F15" s="212" t="str">
        <f>IF(COUNTBLANK(D15:D16)&gt;0,"",IF(D15&gt;D16,C15,C16))</f>
        <v/>
      </c>
      <c r="G15" s="284"/>
      <c r="H15" s="330"/>
      <c r="I15" s="331"/>
      <c r="J15" s="332"/>
      <c r="K15" s="330"/>
      <c r="L15" s="331"/>
      <c r="M15" s="330"/>
      <c r="N15" s="331"/>
    </row>
    <row r="16" spans="1:16" x14ac:dyDescent="0.2">
      <c r="A16" s="277" t="s">
        <v>548</v>
      </c>
      <c r="B16" s="280"/>
      <c r="C16" s="212" t="str">
        <f>IF(B16="","",VLOOKUP(B16,prezentace!A$2:E$200,5))</f>
        <v/>
      </c>
      <c r="D16" s="284"/>
      <c r="E16" s="330"/>
      <c r="F16" s="331"/>
      <c r="G16" s="332"/>
      <c r="H16" s="330"/>
      <c r="I16" s="331"/>
      <c r="J16" s="332"/>
      <c r="K16" s="330"/>
      <c r="L16" s="331"/>
      <c r="M16" s="330"/>
      <c r="N16" s="331"/>
    </row>
    <row r="17" spans="1:14" ht="15.75" x14ac:dyDescent="0.25">
      <c r="A17" s="32"/>
      <c r="B17" s="32"/>
      <c r="C17" s="331"/>
      <c r="D17" s="332"/>
      <c r="E17" s="330"/>
      <c r="F17" s="331"/>
      <c r="G17" s="332"/>
      <c r="H17" s="330"/>
      <c r="I17" s="331"/>
      <c r="J17" s="332"/>
      <c r="K17" s="330"/>
      <c r="L17" s="375"/>
      <c r="M17" s="330"/>
      <c r="N17" s="331"/>
    </row>
    <row r="18" spans="1:14" x14ac:dyDescent="0.2">
      <c r="A18" s="378"/>
      <c r="B18" s="376"/>
      <c r="C18" s="344"/>
      <c r="D18" s="377"/>
      <c r="E18" s="343"/>
      <c r="F18" s="344"/>
      <c r="G18" s="345"/>
      <c r="H18" s="346"/>
      <c r="I18" s="344"/>
      <c r="J18" s="332"/>
      <c r="K18" s="330"/>
      <c r="L18" s="331"/>
      <c r="M18" s="330"/>
      <c r="N18" s="331"/>
    </row>
    <row r="19" spans="1:14" x14ac:dyDescent="0.2">
      <c r="A19" s="39"/>
      <c r="B19" s="39"/>
      <c r="C19" s="331"/>
      <c r="D19" s="332"/>
      <c r="E19" s="330"/>
      <c r="F19" s="331"/>
      <c r="G19" s="332"/>
      <c r="H19" s="330"/>
      <c r="I19" s="331"/>
      <c r="J19" s="332"/>
      <c r="K19" s="330"/>
      <c r="L19" s="331"/>
      <c r="M19" s="330"/>
      <c r="N19" s="331"/>
    </row>
    <row r="20" spans="1:14" x14ac:dyDescent="0.2">
      <c r="A20" s="39"/>
      <c r="B20" s="39"/>
      <c r="C20" s="331"/>
      <c r="D20" s="294"/>
      <c r="G20" s="294"/>
      <c r="J20" s="332"/>
      <c r="K20" s="330"/>
      <c r="L20" s="331"/>
      <c r="M20" s="330"/>
      <c r="N20" s="331"/>
    </row>
    <row r="21" spans="1:14" x14ac:dyDescent="0.2">
      <c r="A21" s="39"/>
      <c r="B21" s="39"/>
      <c r="C21" s="331"/>
      <c r="D21" s="294"/>
      <c r="G21" s="294"/>
      <c r="J21" s="332"/>
      <c r="K21" s="330"/>
      <c r="L21" s="331"/>
      <c r="M21" s="330"/>
      <c r="N21" s="331"/>
    </row>
    <row r="22" spans="1:14" x14ac:dyDescent="0.2">
      <c r="A22" s="39"/>
      <c r="B22" s="39"/>
      <c r="C22" s="331"/>
      <c r="J22" s="330"/>
      <c r="K22" s="330"/>
      <c r="L22" s="331"/>
      <c r="M22" s="330"/>
      <c r="N22" s="331"/>
    </row>
    <row r="23" spans="1:14" x14ac:dyDescent="0.2">
      <c r="A23" s="39"/>
      <c r="B23" s="39"/>
      <c r="C23" s="331"/>
      <c r="D23" s="330"/>
      <c r="E23" s="330"/>
      <c r="F23" s="331"/>
      <c r="G23" s="330"/>
      <c r="H23" s="330"/>
      <c r="I23" s="331"/>
      <c r="J23" s="330"/>
      <c r="K23" s="330"/>
      <c r="L23" s="331"/>
      <c r="M23" s="330"/>
      <c r="N23" s="331"/>
    </row>
    <row r="24" spans="1:14" x14ac:dyDescent="0.2">
      <c r="A24" s="39"/>
      <c r="B24" s="39"/>
      <c r="C24" s="331"/>
      <c r="D24" s="330"/>
      <c r="E24" s="330"/>
      <c r="F24" s="331"/>
      <c r="G24" s="333"/>
      <c r="H24" s="333"/>
      <c r="I24" s="331"/>
      <c r="J24" s="330"/>
      <c r="K24" s="330"/>
      <c r="L24" s="331"/>
      <c r="M24" s="330"/>
      <c r="N24" s="331"/>
    </row>
    <row r="25" spans="1:14" x14ac:dyDescent="0.2">
      <c r="A25" s="39"/>
      <c r="B25" s="39"/>
      <c r="C25" s="331"/>
      <c r="D25" s="330"/>
      <c r="E25" s="330"/>
      <c r="F25" s="331"/>
      <c r="G25" s="333"/>
      <c r="H25" s="333"/>
      <c r="I25" s="331"/>
      <c r="J25" s="330"/>
      <c r="K25" s="330"/>
      <c r="L25" s="331"/>
      <c r="M25" s="330"/>
      <c r="N25" s="331"/>
    </row>
    <row r="26" spans="1:14" x14ac:dyDescent="0.2">
      <c r="A26" s="39"/>
      <c r="B26" s="39"/>
      <c r="C26" s="331"/>
      <c r="D26" s="330"/>
      <c r="E26" s="330"/>
      <c r="F26" s="331"/>
      <c r="G26" s="333"/>
      <c r="H26" s="333"/>
      <c r="I26" s="331"/>
      <c r="J26" s="330"/>
      <c r="K26" s="330"/>
      <c r="L26" s="331"/>
      <c r="M26" s="330"/>
      <c r="N26" s="331"/>
    </row>
    <row r="27" spans="1:14" x14ac:dyDescent="0.2">
      <c r="A27" s="39"/>
      <c r="B27" s="39"/>
      <c r="C27" s="331"/>
      <c r="J27" s="330"/>
      <c r="K27" s="330"/>
      <c r="L27" s="331"/>
      <c r="M27" s="330"/>
      <c r="N27" s="331"/>
    </row>
    <row r="28" spans="1:14" x14ac:dyDescent="0.2">
      <c r="A28" s="39"/>
      <c r="B28" s="39"/>
      <c r="C28" s="331"/>
      <c r="J28" s="330"/>
      <c r="K28" s="330"/>
      <c r="L28" s="331"/>
      <c r="M28" s="330"/>
      <c r="N28" s="331"/>
    </row>
    <row r="29" spans="1:14" x14ac:dyDescent="0.2">
      <c r="A29" s="39"/>
      <c r="B29" s="39"/>
      <c r="C29" s="331"/>
      <c r="J29" s="330"/>
      <c r="K29" s="330"/>
      <c r="L29" s="331"/>
      <c r="M29" s="330"/>
      <c r="N29" s="331"/>
    </row>
    <row r="30" spans="1:14" x14ac:dyDescent="0.2">
      <c r="A30" s="39"/>
      <c r="B30" s="39"/>
      <c r="C30" s="331"/>
      <c r="D30" s="330"/>
      <c r="E30" s="330"/>
      <c r="F30" s="331"/>
      <c r="G30" s="333"/>
      <c r="H30" s="333"/>
      <c r="I30" s="331"/>
      <c r="J30" s="330"/>
      <c r="K30" s="330"/>
      <c r="L30" s="331"/>
      <c r="M30" s="330"/>
      <c r="N30" s="331"/>
    </row>
    <row r="31" spans="1:14" x14ac:dyDescent="0.2">
      <c r="A31" s="39"/>
      <c r="B31" s="39"/>
      <c r="C31" s="331"/>
      <c r="D31" s="330"/>
      <c r="E31" s="330"/>
      <c r="F31" s="331"/>
      <c r="G31" s="333"/>
      <c r="H31" s="333"/>
      <c r="I31" s="331"/>
      <c r="J31" s="330"/>
      <c r="K31" s="330"/>
      <c r="L31" s="331"/>
      <c r="M31" s="330"/>
      <c r="N31" s="331"/>
    </row>
    <row r="32" spans="1:14" x14ac:dyDescent="0.2">
      <c r="A32" s="39"/>
      <c r="B32" s="39"/>
      <c r="C32" s="331"/>
      <c r="D32" s="330"/>
      <c r="E32" s="330"/>
      <c r="F32" s="331"/>
      <c r="G32" s="333"/>
      <c r="H32" s="333"/>
      <c r="I32" s="331"/>
      <c r="J32" s="330"/>
      <c r="K32" s="330"/>
      <c r="L32" s="331"/>
      <c r="M32" s="330"/>
      <c r="N32" s="331"/>
    </row>
    <row r="33" spans="1:14" x14ac:dyDescent="0.2">
      <c r="A33" s="39"/>
      <c r="B33" s="39"/>
      <c r="C33" s="331"/>
      <c r="D33" s="330"/>
      <c r="E33" s="330"/>
      <c r="F33" s="331"/>
      <c r="G33" s="333"/>
      <c r="H33" s="333"/>
      <c r="I33" s="331"/>
      <c r="J33" s="330"/>
      <c r="K33" s="330"/>
      <c r="L33" s="331"/>
      <c r="M33" s="330"/>
      <c r="N33" s="331"/>
    </row>
    <row r="34" spans="1:14" x14ac:dyDescent="0.2">
      <c r="A34" s="39"/>
      <c r="B34" s="39"/>
      <c r="C34" s="331"/>
      <c r="D34" s="330"/>
      <c r="E34" s="330"/>
      <c r="F34" s="331"/>
      <c r="G34" s="333"/>
      <c r="H34" s="333"/>
      <c r="I34" s="331"/>
      <c r="J34" s="330"/>
      <c r="K34" s="330"/>
      <c r="L34" s="331"/>
      <c r="M34" s="330"/>
      <c r="N34" s="331"/>
    </row>
    <row r="35" spans="1:14" x14ac:dyDescent="0.2">
      <c r="A35" s="39"/>
      <c r="B35" s="39"/>
      <c r="C35" s="331"/>
      <c r="D35" s="330"/>
      <c r="E35" s="330"/>
      <c r="F35" s="331"/>
      <c r="G35" s="333"/>
      <c r="H35" s="333"/>
      <c r="I35" s="331"/>
      <c r="J35" s="330"/>
      <c r="K35" s="330"/>
      <c r="L35" s="331"/>
      <c r="M35" s="330"/>
      <c r="N35" s="331"/>
    </row>
    <row r="36" spans="1:14" x14ac:dyDescent="0.2">
      <c r="A36" s="39"/>
      <c r="B36" s="39"/>
      <c r="C36" s="331"/>
      <c r="D36" s="330"/>
      <c r="E36" s="330"/>
      <c r="F36" s="331"/>
      <c r="G36" s="333"/>
      <c r="H36" s="333"/>
      <c r="I36" s="331"/>
      <c r="J36" s="330"/>
      <c r="K36" s="330"/>
      <c r="L36" s="331"/>
      <c r="M36" s="330"/>
      <c r="N36" s="331"/>
    </row>
    <row r="37" spans="1:14" x14ac:dyDescent="0.2">
      <c r="A37" s="39"/>
      <c r="B37" s="39"/>
      <c r="C37" s="331"/>
      <c r="D37" s="330"/>
      <c r="E37" s="330"/>
      <c r="F37" s="331"/>
      <c r="G37" s="333"/>
      <c r="H37" s="333"/>
      <c r="I37" s="331"/>
      <c r="J37" s="330"/>
      <c r="K37" s="330"/>
      <c r="L37" s="331"/>
      <c r="M37" s="330"/>
      <c r="N37" s="331"/>
    </row>
    <row r="38" spans="1:14" x14ac:dyDescent="0.2">
      <c r="A38" s="39"/>
      <c r="B38" s="39"/>
      <c r="C38" s="331"/>
      <c r="D38" s="330"/>
      <c r="E38" s="330"/>
      <c r="F38" s="331"/>
      <c r="G38" s="333"/>
      <c r="H38" s="333"/>
      <c r="I38" s="331"/>
      <c r="J38" s="330"/>
      <c r="K38" s="330"/>
      <c r="L38" s="331"/>
      <c r="M38" s="330"/>
      <c r="N38" s="331"/>
    </row>
    <row r="39" spans="1:14" x14ac:dyDescent="0.2">
      <c r="A39" s="39"/>
      <c r="B39" s="39"/>
      <c r="C39" s="331"/>
      <c r="D39" s="330"/>
      <c r="E39" s="330"/>
      <c r="F39" s="331"/>
      <c r="G39" s="333"/>
      <c r="H39" s="333"/>
      <c r="I39" s="331"/>
      <c r="J39" s="330"/>
      <c r="K39" s="330"/>
      <c r="L39" s="331"/>
      <c r="M39" s="330"/>
      <c r="N39" s="331"/>
    </row>
    <row r="40" spans="1:14" x14ac:dyDescent="0.2">
      <c r="A40" s="39"/>
      <c r="B40" s="39"/>
      <c r="C40" s="331"/>
      <c r="D40" s="330"/>
      <c r="E40" s="330"/>
      <c r="F40" s="331"/>
      <c r="G40" s="333"/>
      <c r="H40" s="333"/>
      <c r="I40" s="331"/>
      <c r="J40" s="330"/>
      <c r="K40" s="330"/>
      <c r="L40" s="331"/>
      <c r="M40" s="369"/>
      <c r="N40" s="331"/>
    </row>
    <row r="41" spans="1:14" x14ac:dyDescent="0.2">
      <c r="A41" s="39"/>
      <c r="B41" s="39"/>
      <c r="C41" s="331"/>
      <c r="D41" s="330"/>
      <c r="E41" s="330"/>
      <c r="F41" s="331"/>
      <c r="G41" s="333"/>
      <c r="H41" s="333"/>
      <c r="I41" s="331"/>
      <c r="J41" s="330"/>
      <c r="K41" s="330"/>
      <c r="L41" s="331"/>
      <c r="M41" s="369"/>
      <c r="N41" s="331"/>
    </row>
  </sheetData>
  <mergeCells count="8">
    <mergeCell ref="A1:L1"/>
    <mergeCell ref="A2:L2"/>
    <mergeCell ref="A3:L3"/>
    <mergeCell ref="A4:L4"/>
    <mergeCell ref="A5:D5"/>
    <mergeCell ref="E5:G5"/>
    <mergeCell ref="H5:J5"/>
    <mergeCell ref="K5:L5"/>
  </mergeCells>
  <pageMargins left="0.39370078740157483" right="0.39370078740157483" top="0.78740157480314965" bottom="0.78740157480314965" header="0.31496062992125984" footer="0.31496062992125984"/>
  <pageSetup paperSize="9" scale="10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F9B24-7630-4196-B2B3-D978DDE8480C}">
  <dimension ref="A1:S27"/>
  <sheetViews>
    <sheetView showGridLines="0" view="pageBreakPreview" zoomScaleNormal="100" zoomScaleSheetLayoutView="100" workbookViewId="0">
      <selection activeCell="H5" sqref="H5:J5"/>
    </sheetView>
  </sheetViews>
  <sheetFormatPr defaultRowHeight="12.75" x14ac:dyDescent="0.2"/>
  <cols>
    <col min="1" max="1" width="6.85546875" style="363" customWidth="1"/>
    <col min="2" max="2" width="5.5703125" style="363" bestFit="1" customWidth="1"/>
    <col min="3" max="4" width="23.85546875" style="364" customWidth="1"/>
    <col min="5" max="9" width="6.5703125" style="354" customWidth="1"/>
    <col min="10" max="10" width="9.42578125" style="365" customWidth="1"/>
    <col min="11" max="11" width="5.42578125" style="353" bestFit="1" customWidth="1"/>
    <col min="12" max="12" width="21.140625" style="353" customWidth="1"/>
    <col min="13" max="13" width="15" style="353" customWidth="1"/>
    <col min="14" max="14" width="15" style="354" customWidth="1"/>
    <col min="15" max="15" width="27.140625" style="354" bestFit="1" customWidth="1"/>
    <col min="16" max="18" width="5.7109375" style="354" bestFit="1" customWidth="1"/>
    <col min="19" max="19" width="8.140625" style="365" bestFit="1" customWidth="1"/>
    <col min="20" max="16384" width="9.140625" style="354"/>
  </cols>
  <sheetData>
    <row r="1" spans="1:14" ht="14.45" customHeight="1" x14ac:dyDescent="0.2">
      <c r="A1" s="348" t="s">
        <v>57</v>
      </c>
      <c r="B1" s="349" t="s">
        <v>60</v>
      </c>
      <c r="C1" s="350" t="s">
        <v>96</v>
      </c>
      <c r="D1" s="350" t="s">
        <v>97</v>
      </c>
      <c r="E1" s="351" t="s">
        <v>162</v>
      </c>
      <c r="F1" s="351" t="s">
        <v>163</v>
      </c>
      <c r="G1" s="351" t="s">
        <v>164</v>
      </c>
      <c r="H1" s="351" t="s">
        <v>221</v>
      </c>
      <c r="I1" s="351" t="s">
        <v>220</v>
      </c>
      <c r="J1" s="352" t="s">
        <v>161</v>
      </c>
    </row>
    <row r="2" spans="1:14" ht="23.25" x14ac:dyDescent="0.2">
      <c r="A2" s="355" t="s">
        <v>111</v>
      </c>
      <c r="B2" s="356"/>
      <c r="C2" s="357"/>
      <c r="D2" s="357"/>
      <c r="E2" s="358"/>
      <c r="F2" s="359"/>
      <c r="G2" s="359"/>
      <c r="H2" s="359"/>
      <c r="I2" s="359"/>
      <c r="J2" s="360"/>
    </row>
    <row r="3" spans="1:14" ht="24" thickBot="1" x14ac:dyDescent="0.25">
      <c r="A3" s="425" t="s">
        <v>165</v>
      </c>
      <c r="B3" s="426"/>
      <c r="C3" s="361"/>
      <c r="D3" s="362" t="s">
        <v>166</v>
      </c>
      <c r="E3" s="427"/>
      <c r="F3" s="427"/>
      <c r="G3" s="427"/>
      <c r="H3" s="427"/>
      <c r="I3" s="427"/>
      <c r="J3" s="428"/>
    </row>
    <row r="4" spans="1:14" ht="13.5" thickBot="1" x14ac:dyDescent="0.25"/>
    <row r="5" spans="1:14" ht="14.45" customHeight="1" x14ac:dyDescent="0.2">
      <c r="A5" s="348" t="s">
        <v>57</v>
      </c>
      <c r="B5" s="349" t="s">
        <v>60</v>
      </c>
      <c r="C5" s="350" t="s">
        <v>96</v>
      </c>
      <c r="D5" s="350" t="s">
        <v>97</v>
      </c>
      <c r="E5" s="351" t="s">
        <v>162</v>
      </c>
      <c r="F5" s="351" t="s">
        <v>163</v>
      </c>
      <c r="G5" s="351" t="s">
        <v>164</v>
      </c>
      <c r="H5" s="351" t="s">
        <v>221</v>
      </c>
      <c r="I5" s="351" t="s">
        <v>220</v>
      </c>
      <c r="J5" s="352" t="s">
        <v>161</v>
      </c>
    </row>
    <row r="6" spans="1:14" ht="23.25" x14ac:dyDescent="0.2">
      <c r="A6" s="355" t="s">
        <v>111</v>
      </c>
      <c r="B6" s="356"/>
      <c r="C6" s="357"/>
      <c r="D6" s="357"/>
      <c r="E6" s="359"/>
      <c r="F6" s="359"/>
      <c r="G6" s="359"/>
      <c r="H6" s="359"/>
      <c r="I6" s="359"/>
      <c r="J6" s="360"/>
      <c r="N6" s="366"/>
    </row>
    <row r="7" spans="1:14" ht="24" thickBot="1" x14ac:dyDescent="0.25">
      <c r="A7" s="425" t="s">
        <v>165</v>
      </c>
      <c r="B7" s="426"/>
      <c r="C7" s="361"/>
      <c r="D7" s="362" t="s">
        <v>166</v>
      </c>
      <c r="E7" s="427"/>
      <c r="F7" s="427"/>
      <c r="G7" s="427"/>
      <c r="H7" s="427"/>
      <c r="I7" s="427"/>
      <c r="J7" s="428"/>
    </row>
    <row r="8" spans="1:14" ht="12" customHeight="1" thickBot="1" x14ac:dyDescent="0.25">
      <c r="A8" s="367"/>
    </row>
    <row r="9" spans="1:14" ht="14.45" customHeight="1" x14ac:dyDescent="0.2">
      <c r="A9" s="348" t="s">
        <v>57</v>
      </c>
      <c r="B9" s="349" t="s">
        <v>60</v>
      </c>
      <c r="C9" s="350" t="s">
        <v>96</v>
      </c>
      <c r="D9" s="350" t="s">
        <v>97</v>
      </c>
      <c r="E9" s="351" t="s">
        <v>162</v>
      </c>
      <c r="F9" s="351" t="s">
        <v>163</v>
      </c>
      <c r="G9" s="351" t="s">
        <v>164</v>
      </c>
      <c r="H9" s="351" t="s">
        <v>221</v>
      </c>
      <c r="I9" s="351" t="s">
        <v>220</v>
      </c>
      <c r="J9" s="352" t="s">
        <v>161</v>
      </c>
    </row>
    <row r="10" spans="1:14" ht="23.25" x14ac:dyDescent="0.2">
      <c r="A10" s="355" t="s">
        <v>111</v>
      </c>
      <c r="B10" s="356"/>
      <c r="C10" s="357"/>
      <c r="D10" s="357"/>
      <c r="E10" s="359"/>
      <c r="F10" s="359"/>
      <c r="G10" s="359"/>
      <c r="H10" s="359"/>
      <c r="I10" s="359"/>
      <c r="J10" s="360"/>
    </row>
    <row r="11" spans="1:14" ht="24" thickBot="1" x14ac:dyDescent="0.25">
      <c r="A11" s="425" t="s">
        <v>165</v>
      </c>
      <c r="B11" s="426"/>
      <c r="C11" s="361"/>
      <c r="D11" s="362" t="s">
        <v>166</v>
      </c>
      <c r="E11" s="427"/>
      <c r="F11" s="427"/>
      <c r="G11" s="427"/>
      <c r="H11" s="427"/>
      <c r="I11" s="427"/>
      <c r="J11" s="428"/>
    </row>
    <row r="12" spans="1:14" ht="12" customHeight="1" thickBot="1" x14ac:dyDescent="0.25"/>
    <row r="13" spans="1:14" ht="14.45" customHeight="1" x14ac:dyDescent="0.2">
      <c r="A13" s="348" t="s">
        <v>57</v>
      </c>
      <c r="B13" s="349" t="s">
        <v>60</v>
      </c>
      <c r="C13" s="350" t="s">
        <v>96</v>
      </c>
      <c r="D13" s="350" t="s">
        <v>97</v>
      </c>
      <c r="E13" s="351" t="s">
        <v>162</v>
      </c>
      <c r="F13" s="351" t="s">
        <v>163</v>
      </c>
      <c r="G13" s="351" t="s">
        <v>164</v>
      </c>
      <c r="H13" s="351" t="s">
        <v>221</v>
      </c>
      <c r="I13" s="351" t="s">
        <v>220</v>
      </c>
      <c r="J13" s="352" t="s">
        <v>161</v>
      </c>
    </row>
    <row r="14" spans="1:14" ht="23.25" x14ac:dyDescent="0.2">
      <c r="A14" s="355" t="s">
        <v>111</v>
      </c>
      <c r="B14" s="356"/>
      <c r="C14" s="357"/>
      <c r="D14" s="357"/>
      <c r="E14" s="359"/>
      <c r="F14" s="359"/>
      <c r="G14" s="359"/>
      <c r="H14" s="359"/>
      <c r="I14" s="359"/>
      <c r="J14" s="360"/>
    </row>
    <row r="15" spans="1:14" ht="24" thickBot="1" x14ac:dyDescent="0.25">
      <c r="A15" s="425" t="s">
        <v>165</v>
      </c>
      <c r="B15" s="426"/>
      <c r="C15" s="361"/>
      <c r="D15" s="362" t="s">
        <v>166</v>
      </c>
      <c r="E15" s="427"/>
      <c r="F15" s="427"/>
      <c r="G15" s="427"/>
      <c r="H15" s="427"/>
      <c r="I15" s="427"/>
      <c r="J15" s="428"/>
    </row>
    <row r="16" spans="1:14" ht="12" customHeight="1" thickBot="1" x14ac:dyDescent="0.25">
      <c r="A16" s="367"/>
    </row>
    <row r="17" spans="1:10" ht="14.45" customHeight="1" x14ac:dyDescent="0.2">
      <c r="A17" s="348" t="s">
        <v>57</v>
      </c>
      <c r="B17" s="349" t="s">
        <v>60</v>
      </c>
      <c r="C17" s="350" t="s">
        <v>96</v>
      </c>
      <c r="D17" s="350" t="s">
        <v>97</v>
      </c>
      <c r="E17" s="351" t="s">
        <v>162</v>
      </c>
      <c r="F17" s="351" t="s">
        <v>163</v>
      </c>
      <c r="G17" s="351" t="s">
        <v>164</v>
      </c>
      <c r="H17" s="351" t="s">
        <v>221</v>
      </c>
      <c r="I17" s="351" t="s">
        <v>220</v>
      </c>
      <c r="J17" s="352" t="s">
        <v>161</v>
      </c>
    </row>
    <row r="18" spans="1:10" ht="23.25" x14ac:dyDescent="0.2">
      <c r="A18" s="355" t="s">
        <v>316</v>
      </c>
      <c r="B18" s="356"/>
      <c r="C18" s="357"/>
      <c r="D18" s="357"/>
      <c r="E18" s="359"/>
      <c r="F18" s="359"/>
      <c r="G18" s="359"/>
      <c r="H18" s="359"/>
      <c r="I18" s="359"/>
      <c r="J18" s="360"/>
    </row>
    <row r="19" spans="1:10" ht="24" thickBot="1" x14ac:dyDescent="0.25">
      <c r="A19" s="425" t="s">
        <v>165</v>
      </c>
      <c r="B19" s="426"/>
      <c r="C19" s="361"/>
      <c r="D19" s="362" t="s">
        <v>166</v>
      </c>
      <c r="E19" s="427"/>
      <c r="F19" s="427"/>
      <c r="G19" s="427"/>
      <c r="H19" s="427"/>
      <c r="I19" s="427"/>
      <c r="J19" s="428"/>
    </row>
    <row r="20" spans="1:10" ht="13.5" thickBot="1" x14ac:dyDescent="0.25"/>
    <row r="21" spans="1:10" ht="14.45" customHeight="1" x14ac:dyDescent="0.2">
      <c r="A21" s="348" t="s">
        <v>57</v>
      </c>
      <c r="B21" s="349" t="s">
        <v>60</v>
      </c>
      <c r="C21" s="350" t="s">
        <v>96</v>
      </c>
      <c r="D21" s="350" t="s">
        <v>97</v>
      </c>
      <c r="E21" s="351" t="s">
        <v>162</v>
      </c>
      <c r="F21" s="351" t="s">
        <v>163</v>
      </c>
      <c r="G21" s="351" t="s">
        <v>164</v>
      </c>
      <c r="H21" s="351" t="s">
        <v>221</v>
      </c>
      <c r="I21" s="351" t="s">
        <v>220</v>
      </c>
      <c r="J21" s="352" t="s">
        <v>161</v>
      </c>
    </row>
    <row r="22" spans="1:10" ht="23.25" x14ac:dyDescent="0.2">
      <c r="A22" s="355" t="s">
        <v>316</v>
      </c>
      <c r="B22" s="356"/>
      <c r="C22" s="357"/>
      <c r="D22" s="357"/>
      <c r="E22" s="359"/>
      <c r="F22" s="359"/>
      <c r="G22" s="359"/>
      <c r="H22" s="359"/>
      <c r="I22" s="359"/>
      <c r="J22" s="360"/>
    </row>
    <row r="23" spans="1:10" ht="24" thickBot="1" x14ac:dyDescent="0.25">
      <c r="A23" s="425" t="s">
        <v>165</v>
      </c>
      <c r="B23" s="426"/>
      <c r="C23" s="361"/>
      <c r="D23" s="362" t="s">
        <v>166</v>
      </c>
      <c r="E23" s="427"/>
      <c r="F23" s="427"/>
      <c r="G23" s="427"/>
      <c r="H23" s="427"/>
      <c r="I23" s="427"/>
      <c r="J23" s="428"/>
    </row>
    <row r="24" spans="1:10" ht="12" customHeight="1" thickBot="1" x14ac:dyDescent="0.25">
      <c r="A24" s="367"/>
    </row>
    <row r="25" spans="1:10" x14ac:dyDescent="0.2">
      <c r="A25" s="348" t="s">
        <v>57</v>
      </c>
      <c r="B25" s="349" t="s">
        <v>60</v>
      </c>
      <c r="C25" s="350" t="s">
        <v>96</v>
      </c>
      <c r="D25" s="350" t="s">
        <v>97</v>
      </c>
      <c r="E25" s="351" t="s">
        <v>162</v>
      </c>
      <c r="F25" s="351" t="s">
        <v>163</v>
      </c>
      <c r="G25" s="351" t="s">
        <v>164</v>
      </c>
      <c r="H25" s="351" t="s">
        <v>221</v>
      </c>
      <c r="I25" s="351" t="s">
        <v>220</v>
      </c>
      <c r="J25" s="352" t="s">
        <v>161</v>
      </c>
    </row>
    <row r="26" spans="1:10" ht="23.25" x14ac:dyDescent="0.2">
      <c r="A26" s="355" t="s">
        <v>317</v>
      </c>
      <c r="B26" s="356"/>
      <c r="C26" s="357"/>
      <c r="D26" s="357"/>
      <c r="E26" s="358"/>
      <c r="F26" s="359"/>
      <c r="G26" s="359"/>
      <c r="H26" s="359"/>
      <c r="I26" s="359"/>
      <c r="J26" s="360"/>
    </row>
    <row r="27" spans="1:10" ht="24" thickBot="1" x14ac:dyDescent="0.25">
      <c r="A27" s="425" t="s">
        <v>165</v>
      </c>
      <c r="B27" s="426"/>
      <c r="C27" s="361"/>
      <c r="D27" s="362" t="s">
        <v>166</v>
      </c>
      <c r="E27" s="427"/>
      <c r="F27" s="427"/>
      <c r="G27" s="427"/>
      <c r="H27" s="427"/>
      <c r="I27" s="427"/>
      <c r="J27" s="428"/>
    </row>
  </sheetData>
  <mergeCells count="14">
    <mergeCell ref="A3:B3"/>
    <mergeCell ref="E3:J3"/>
    <mergeCell ref="A7:B7"/>
    <mergeCell ref="E7:J7"/>
    <mergeCell ref="A11:B11"/>
    <mergeCell ref="E11:J11"/>
    <mergeCell ref="A27:B27"/>
    <mergeCell ref="E27:J27"/>
    <mergeCell ref="A15:B15"/>
    <mergeCell ref="E15:J15"/>
    <mergeCell ref="A19:B19"/>
    <mergeCell ref="E19:J19"/>
    <mergeCell ref="A23:B23"/>
    <mergeCell ref="E23:J23"/>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dimension ref="A1:Q29"/>
  <sheetViews>
    <sheetView view="pageBreakPreview" zoomScale="115" zoomScaleNormal="115" zoomScaleSheetLayoutView="115" workbookViewId="0">
      <pane ySplit="4" topLeftCell="A5" activePane="bottomLeft" state="frozen"/>
      <selection activeCell="D21" sqref="D21"/>
      <selection pane="bottomLeft" activeCell="D21" sqref="D21"/>
    </sheetView>
  </sheetViews>
  <sheetFormatPr defaultRowHeight="12.75" x14ac:dyDescent="0.2"/>
  <cols>
    <col min="1" max="1" width="4" bestFit="1" customWidth="1"/>
    <col min="2" max="2" width="5" bestFit="1" customWidth="1"/>
    <col min="3" max="3" width="24.7109375" customWidth="1"/>
    <col min="4" max="4" width="3.7109375" customWidth="1"/>
    <col min="5" max="5" width="5" bestFit="1" customWidth="1"/>
    <col min="6" max="6" width="24.7109375" customWidth="1"/>
    <col min="7" max="7" width="3.7109375" customWidth="1"/>
    <col min="8" max="8" width="5" bestFit="1" customWidth="1"/>
    <col min="9" max="9" width="24.7109375" customWidth="1"/>
    <col min="10" max="10" width="3.7109375" customWidth="1"/>
    <col min="11" max="11" width="5" bestFit="1" customWidth="1"/>
    <col min="12" max="12" width="24.7109375" customWidth="1"/>
    <col min="13" max="14" width="3.7109375" customWidth="1"/>
    <col min="15" max="15" width="24.7109375" customWidth="1"/>
    <col min="16" max="16" width="3.7109375" customWidth="1"/>
    <col min="17" max="17" width="24.7109375" customWidth="1"/>
    <col min="18" max="18" width="3.7109375" customWidth="1"/>
  </cols>
  <sheetData>
    <row r="1" spans="1:17" ht="15" x14ac:dyDescent="0.2">
      <c r="A1" s="433" t="s">
        <v>591</v>
      </c>
      <c r="B1" s="433"/>
      <c r="C1" s="433"/>
      <c r="D1" s="433"/>
      <c r="E1" s="433"/>
      <c r="F1" s="433"/>
      <c r="G1" s="433"/>
      <c r="H1" s="433"/>
      <c r="I1" s="433"/>
      <c r="J1" s="433"/>
      <c r="K1" s="433"/>
      <c r="L1" s="433"/>
      <c r="M1" s="433"/>
      <c r="N1" s="433"/>
      <c r="O1" s="433"/>
      <c r="P1" s="310"/>
      <c r="Q1" s="310"/>
    </row>
    <row r="2" spans="1:17" ht="15" x14ac:dyDescent="0.2">
      <c r="A2" s="433" t="s">
        <v>589</v>
      </c>
      <c r="B2" s="433"/>
      <c r="C2" s="433"/>
      <c r="D2" s="433"/>
      <c r="E2" s="433"/>
      <c r="F2" s="433"/>
      <c r="G2" s="433"/>
      <c r="H2" s="433"/>
      <c r="I2" s="433"/>
      <c r="J2" s="433"/>
      <c r="K2" s="433"/>
      <c r="L2" s="433"/>
      <c r="M2" s="433"/>
      <c r="N2" s="433"/>
      <c r="O2" s="433"/>
      <c r="P2" s="310"/>
      <c r="Q2" s="310"/>
    </row>
    <row r="3" spans="1:17" ht="15" x14ac:dyDescent="0.2">
      <c r="A3" s="322"/>
      <c r="B3" s="322"/>
      <c r="C3" s="322"/>
      <c r="D3" s="322"/>
      <c r="E3" s="322"/>
      <c r="F3" s="322"/>
      <c r="G3" s="322"/>
      <c r="H3" s="322"/>
      <c r="I3" s="322"/>
      <c r="J3" s="322"/>
      <c r="K3" s="322"/>
      <c r="L3" s="322"/>
      <c r="M3" s="322"/>
      <c r="N3" s="322"/>
      <c r="O3" s="322"/>
      <c r="P3" s="310"/>
      <c r="Q3" s="310"/>
    </row>
    <row r="4" spans="1:17" x14ac:dyDescent="0.2">
      <c r="A4" s="434" t="s">
        <v>223</v>
      </c>
      <c r="B4" s="434"/>
      <c r="C4" s="434"/>
      <c r="D4" s="434"/>
      <c r="E4" s="435" t="s">
        <v>226</v>
      </c>
      <c r="F4" s="435"/>
      <c r="G4" s="435"/>
      <c r="H4" s="435" t="s">
        <v>227</v>
      </c>
      <c r="I4" s="435"/>
      <c r="J4" s="435"/>
      <c r="K4" s="435" t="s">
        <v>225</v>
      </c>
      <c r="L4" s="435"/>
      <c r="M4" s="435"/>
      <c r="N4" s="435" t="s">
        <v>224</v>
      </c>
      <c r="O4" s="435"/>
      <c r="Q4" s="209"/>
    </row>
    <row r="5" spans="1:17" x14ac:dyDescent="0.2">
      <c r="A5" s="273" t="s">
        <v>542</v>
      </c>
      <c r="B5" s="279"/>
      <c r="C5" s="210" t="str">
        <f>IF(B5="","",VLOOKUP(B5,prezentace!A$2:E$200,5))</f>
        <v/>
      </c>
      <c r="D5" s="283"/>
      <c r="E5" s="297"/>
      <c r="F5" s="296"/>
      <c r="G5" s="285"/>
      <c r="H5" s="297"/>
      <c r="I5" s="296"/>
      <c r="J5" s="285"/>
      <c r="K5" s="297"/>
      <c r="L5" s="296"/>
      <c r="M5" s="291"/>
      <c r="N5" s="308"/>
      <c r="O5" s="296"/>
    </row>
    <row r="6" spans="1:17" x14ac:dyDescent="0.2">
      <c r="A6" s="277" t="s">
        <v>547</v>
      </c>
      <c r="B6" s="280"/>
      <c r="C6" s="212" t="str">
        <f>IF(B6="","",VLOOKUP(B6,prezentace!A$2:E$200,5))</f>
        <v/>
      </c>
      <c r="D6" s="284"/>
      <c r="E6" s="292" t="s">
        <v>110</v>
      </c>
      <c r="F6" s="304" t="str">
        <f>IF(COUNTBLANK(D5:D6)&gt;0,"",IF(D5&gt;D6,C5,C6))</f>
        <v/>
      </c>
      <c r="G6" s="283"/>
      <c r="H6" s="297"/>
      <c r="I6" s="296"/>
      <c r="J6" s="285"/>
      <c r="K6" s="297"/>
      <c r="L6" s="296"/>
      <c r="M6" s="291"/>
      <c r="N6" s="308"/>
      <c r="O6" s="296"/>
    </row>
    <row r="7" spans="1:17" x14ac:dyDescent="0.2">
      <c r="A7" s="213"/>
      <c r="B7" s="281"/>
      <c r="C7" s="211"/>
      <c r="D7" s="285"/>
      <c r="E7" s="297"/>
      <c r="F7" s="296"/>
      <c r="G7" s="287"/>
      <c r="H7" s="327" t="s">
        <v>315</v>
      </c>
      <c r="I7" s="304" t="str">
        <f>IF(COUNTBLANK(G6:G8)&gt;1,"",IF(G6&gt;G8,F6,F8))</f>
        <v/>
      </c>
      <c r="J7" s="283"/>
      <c r="K7" s="297"/>
      <c r="L7" s="296"/>
      <c r="M7" s="285"/>
      <c r="N7" s="297"/>
      <c r="O7" s="296"/>
    </row>
    <row r="8" spans="1:17" x14ac:dyDescent="0.2">
      <c r="A8" s="273" t="s">
        <v>571</v>
      </c>
      <c r="B8" s="279"/>
      <c r="C8" s="210" t="str">
        <f>IF(B8="","",VLOOKUP(B8,prezentace!A$2:E$200,5))</f>
        <v/>
      </c>
      <c r="D8" s="283"/>
      <c r="E8" s="293" t="s">
        <v>110</v>
      </c>
      <c r="F8" s="305" t="str">
        <f>IF(COUNTBLANK(D8:D9)&gt;0,"",IF(D8&gt;D9,C8,C9))</f>
        <v/>
      </c>
      <c r="G8" s="284"/>
      <c r="H8" s="328"/>
      <c r="I8" s="296"/>
      <c r="J8" s="287"/>
      <c r="K8" s="297"/>
      <c r="L8" s="296"/>
      <c r="M8" s="291"/>
      <c r="N8" s="308"/>
      <c r="O8" s="296"/>
    </row>
    <row r="9" spans="1:17" x14ac:dyDescent="0.2">
      <c r="A9" s="277" t="s">
        <v>576</v>
      </c>
      <c r="B9" s="280"/>
      <c r="C9" s="212" t="str">
        <f>IF(B9="","",VLOOKUP(B9,prezentace!A$2:E$200,5))</f>
        <v/>
      </c>
      <c r="D9" s="284"/>
      <c r="E9" s="297"/>
      <c r="F9" s="296"/>
      <c r="G9" s="285"/>
      <c r="H9" s="297"/>
      <c r="I9" s="296"/>
      <c r="J9" s="287"/>
      <c r="K9" s="297"/>
      <c r="L9" s="296"/>
      <c r="M9" s="291"/>
      <c r="N9" s="308"/>
      <c r="O9" s="296"/>
    </row>
    <row r="10" spans="1:17" x14ac:dyDescent="0.2">
      <c r="A10" s="213"/>
      <c r="B10" s="281"/>
      <c r="C10" s="211"/>
      <c r="D10" s="285"/>
      <c r="E10" s="297"/>
      <c r="F10" s="296"/>
      <c r="G10" s="285"/>
      <c r="H10" s="297"/>
      <c r="I10" s="296"/>
      <c r="J10" s="287"/>
      <c r="K10" s="327" t="s">
        <v>319</v>
      </c>
      <c r="L10" s="304" t="str">
        <f>IF(COUNTBLANK(J7:J13)&gt;5,"",IF(J7&gt;J13,I7,I13))</f>
        <v/>
      </c>
      <c r="M10" s="283"/>
      <c r="N10" s="297"/>
      <c r="O10" s="296"/>
    </row>
    <row r="11" spans="1:17" x14ac:dyDescent="0.2">
      <c r="A11" s="273" t="s">
        <v>558</v>
      </c>
      <c r="B11" s="279"/>
      <c r="C11" s="210" t="str">
        <f>IF(B11="","",VLOOKUP(B11,prezentace!A$2:E$200,5))</f>
        <v/>
      </c>
      <c r="D11" s="283"/>
      <c r="E11" s="297"/>
      <c r="F11" s="296"/>
      <c r="G11" s="285"/>
      <c r="H11" s="297"/>
      <c r="I11" s="296"/>
      <c r="J11" s="287"/>
      <c r="K11" s="328"/>
      <c r="L11" s="296"/>
      <c r="M11" s="289"/>
      <c r="N11" s="308"/>
      <c r="O11" s="296"/>
    </row>
    <row r="12" spans="1:17" x14ac:dyDescent="0.2">
      <c r="A12" s="277" t="s">
        <v>565</v>
      </c>
      <c r="B12" s="280"/>
      <c r="C12" s="212" t="str">
        <f>IF(B12="","",VLOOKUP(B12,prezentace!A$2:E$200,5))</f>
        <v/>
      </c>
      <c r="D12" s="284"/>
      <c r="E12" s="292" t="s">
        <v>110</v>
      </c>
      <c r="F12" s="304" t="str">
        <f>IF(COUNTBLANK(D11:D12)&gt;0,"",IF(D11&gt;D12,C11,C12))</f>
        <v/>
      </c>
      <c r="G12" s="283"/>
      <c r="H12" s="328"/>
      <c r="I12" s="296"/>
      <c r="J12" s="287"/>
      <c r="K12" s="297"/>
      <c r="L12" s="296"/>
      <c r="M12" s="289"/>
      <c r="N12" s="308"/>
      <c r="O12" s="296"/>
    </row>
    <row r="13" spans="1:17" x14ac:dyDescent="0.2">
      <c r="A13" s="213"/>
      <c r="B13" s="281"/>
      <c r="C13" s="211"/>
      <c r="D13" s="285"/>
      <c r="E13" s="297"/>
      <c r="F13" s="296"/>
      <c r="G13" s="287"/>
      <c r="H13" s="329" t="s">
        <v>315</v>
      </c>
      <c r="I13" s="305" t="str">
        <f>IF(COUNTBLANK(G12:G14)&gt;1,"",IF(G12&gt;G14,F12,F14))</f>
        <v/>
      </c>
      <c r="J13" s="284"/>
      <c r="K13" s="297"/>
      <c r="L13" s="303"/>
      <c r="M13" s="287"/>
      <c r="N13" s="297"/>
      <c r="O13" s="296"/>
    </row>
    <row r="14" spans="1:17" x14ac:dyDescent="0.2">
      <c r="A14" s="273" t="s">
        <v>551</v>
      </c>
      <c r="B14" s="279"/>
      <c r="C14" s="210" t="str">
        <f>IF(B14="","",VLOOKUP(B14,prezentace!A$2:E$200,5))</f>
        <v/>
      </c>
      <c r="D14" s="283"/>
      <c r="E14" s="293" t="s">
        <v>110</v>
      </c>
      <c r="F14" s="305" t="str">
        <f>IF(COUNTBLANK(D14:D15)&gt;0,"",IF(D14&gt;D15,C14,C15))</f>
        <v/>
      </c>
      <c r="G14" s="284"/>
      <c r="H14" s="297"/>
      <c r="I14" s="296"/>
      <c r="J14" s="285"/>
      <c r="K14" s="297"/>
      <c r="L14" s="296"/>
      <c r="M14" s="289"/>
      <c r="N14" s="308"/>
      <c r="O14" s="296"/>
    </row>
    <row r="15" spans="1:17" x14ac:dyDescent="0.2">
      <c r="A15" s="277" t="s">
        <v>554</v>
      </c>
      <c r="B15" s="280"/>
      <c r="C15" s="212" t="str">
        <f>IF(B15="","",VLOOKUP(B15,prezentace!A$2:E$200,5))</f>
        <v/>
      </c>
      <c r="D15" s="284"/>
      <c r="E15" s="297"/>
      <c r="F15" s="296"/>
      <c r="G15" s="285"/>
      <c r="H15" s="297"/>
      <c r="I15" s="296"/>
      <c r="J15" s="285"/>
      <c r="K15" s="297"/>
      <c r="L15" s="296"/>
      <c r="M15" s="290"/>
      <c r="N15" s="309"/>
      <c r="O15" s="296"/>
    </row>
    <row r="16" spans="1:17" x14ac:dyDescent="0.2">
      <c r="A16" s="215"/>
      <c r="B16" s="282"/>
      <c r="C16" s="211"/>
      <c r="D16" s="285"/>
      <c r="E16" s="297"/>
      <c r="F16" s="296"/>
      <c r="G16" s="285"/>
      <c r="H16" s="297"/>
      <c r="I16" s="296"/>
      <c r="J16" s="285"/>
      <c r="K16" s="297"/>
      <c r="L16" s="296"/>
      <c r="M16" s="290"/>
      <c r="N16" s="298" t="s">
        <v>320</v>
      </c>
      <c r="O16" s="299" t="str">
        <f>IF(COUNTBLANK(M10:M22)&gt;11,"",IF(M10&gt;M22,L10,L22))</f>
        <v/>
      </c>
    </row>
    <row r="17" spans="1:17" x14ac:dyDescent="0.2">
      <c r="A17" s="273" t="s">
        <v>550</v>
      </c>
      <c r="B17" s="279"/>
      <c r="C17" s="210" t="str">
        <f>IF(B17="","",VLOOKUP(B17,prezentace!A$2:E$200,5))</f>
        <v/>
      </c>
      <c r="D17" s="283"/>
      <c r="E17" s="297"/>
      <c r="F17" s="296"/>
      <c r="G17" s="285"/>
      <c r="H17" s="297"/>
      <c r="I17" s="296"/>
      <c r="J17" s="285"/>
      <c r="K17" s="297"/>
      <c r="L17" s="296"/>
      <c r="M17" s="289"/>
      <c r="N17" s="308"/>
      <c r="O17" s="296"/>
    </row>
    <row r="18" spans="1:17" x14ac:dyDescent="0.2">
      <c r="A18" s="277" t="s">
        <v>555</v>
      </c>
      <c r="B18" s="280"/>
      <c r="C18" s="212" t="str">
        <f>IF(B18="","",VLOOKUP(B18,prezentace!A$2:E$200,5))</f>
        <v/>
      </c>
      <c r="D18" s="284"/>
      <c r="E18" s="292" t="s">
        <v>110</v>
      </c>
      <c r="F18" s="304" t="str">
        <f>IF(COUNTBLANK(D17:D18)&gt;0,"",IF(D17&gt;D18,C17,C18))</f>
        <v/>
      </c>
      <c r="G18" s="283"/>
      <c r="H18" s="297"/>
      <c r="I18" s="296"/>
      <c r="J18" s="285"/>
      <c r="K18" s="297"/>
      <c r="L18" s="296"/>
      <c r="M18" s="289"/>
      <c r="N18" s="308"/>
      <c r="O18" s="296"/>
    </row>
    <row r="19" spans="1:17" x14ac:dyDescent="0.2">
      <c r="A19" s="213"/>
      <c r="B19" s="281"/>
      <c r="C19" s="211"/>
      <c r="D19" s="285"/>
      <c r="E19" s="297"/>
      <c r="F19" s="296"/>
      <c r="G19" s="287"/>
      <c r="H19" s="327" t="s">
        <v>315</v>
      </c>
      <c r="I19" s="304" t="str">
        <f>IF(COUNTBLANK(G18:G20)&gt;1,"",IF(G18&gt;G20,F18,F20))</f>
        <v/>
      </c>
      <c r="J19" s="283"/>
      <c r="K19" s="297"/>
      <c r="L19" s="296"/>
      <c r="M19" s="287"/>
      <c r="N19" s="297"/>
      <c r="O19" s="296"/>
    </row>
    <row r="20" spans="1:17" x14ac:dyDescent="0.2">
      <c r="A20" s="273" t="s">
        <v>559</v>
      </c>
      <c r="B20" s="279"/>
      <c r="C20" s="210" t="str">
        <f>IF(B20="","",VLOOKUP(B20,prezentace!A$2:E$200,5))</f>
        <v/>
      </c>
      <c r="D20" s="283"/>
      <c r="E20" s="293" t="s">
        <v>110</v>
      </c>
      <c r="F20" s="305" t="str">
        <f>IF(COUNTBLANK(D20:D21)&gt;0,"",IF(D20&gt;D21,C20,C21))</f>
        <v/>
      </c>
      <c r="G20" s="284"/>
      <c r="H20" s="328"/>
      <c r="I20" s="296"/>
      <c r="J20" s="287"/>
      <c r="K20" s="297"/>
      <c r="L20" s="296"/>
      <c r="M20" s="289"/>
      <c r="N20" s="308"/>
      <c r="O20" s="296"/>
    </row>
    <row r="21" spans="1:17" x14ac:dyDescent="0.2">
      <c r="A21" s="277" t="s">
        <v>564</v>
      </c>
      <c r="B21" s="280"/>
      <c r="C21" s="212" t="str">
        <f>IF(B21="","",VLOOKUP(B21,prezentace!A$2:E$200,5))</f>
        <v/>
      </c>
      <c r="D21" s="284"/>
      <c r="E21" s="297"/>
      <c r="F21" s="296"/>
      <c r="G21" s="285"/>
      <c r="H21" s="297"/>
      <c r="I21" s="296"/>
      <c r="J21" s="287"/>
      <c r="K21" s="328"/>
      <c r="L21" s="296"/>
      <c r="M21" s="289"/>
      <c r="N21" s="308"/>
      <c r="O21" s="296"/>
    </row>
    <row r="22" spans="1:17" x14ac:dyDescent="0.2">
      <c r="A22" s="215"/>
      <c r="B22" s="282"/>
      <c r="C22" s="211"/>
      <c r="D22" s="285"/>
      <c r="E22" s="297"/>
      <c r="F22" s="296"/>
      <c r="G22" s="285"/>
      <c r="H22" s="297"/>
      <c r="I22" s="296"/>
      <c r="J22" s="287"/>
      <c r="K22" s="329" t="s">
        <v>319</v>
      </c>
      <c r="L22" s="305" t="str">
        <f>IF(COUNTBLANK(J19:J25)&gt;5,"",IF(J19&gt;J25,I19,I25))</f>
        <v/>
      </c>
      <c r="M22" s="284"/>
      <c r="N22" s="297"/>
      <c r="O22" s="296"/>
    </row>
    <row r="23" spans="1:17" x14ac:dyDescent="0.2">
      <c r="A23" s="273" t="s">
        <v>570</v>
      </c>
      <c r="B23" s="279"/>
      <c r="C23" s="210" t="str">
        <f>IF(B23="","",VLOOKUP(B23,prezentace!A$2:E$200,5))</f>
        <v/>
      </c>
      <c r="D23" s="283"/>
      <c r="E23" s="297"/>
      <c r="F23" s="296"/>
      <c r="G23" s="285"/>
      <c r="H23" s="297"/>
      <c r="I23" s="296"/>
      <c r="J23" s="287"/>
      <c r="K23" s="297"/>
      <c r="L23" s="296"/>
      <c r="M23" s="291"/>
      <c r="N23" s="308"/>
      <c r="O23" s="296"/>
    </row>
    <row r="24" spans="1:17" x14ac:dyDescent="0.2">
      <c r="A24" s="277" t="s">
        <v>577</v>
      </c>
      <c r="B24" s="280"/>
      <c r="C24" s="212" t="str">
        <f>IF(B24="","",VLOOKUP(B24,prezentace!A$2:E$200,5))</f>
        <v/>
      </c>
      <c r="D24" s="284"/>
      <c r="E24" s="292" t="s">
        <v>110</v>
      </c>
      <c r="F24" s="304" t="str">
        <f>IF(COUNTBLANK(D23:D24)&gt;0,"",IF(D23&gt;D24,C23,C24))</f>
        <v/>
      </c>
      <c r="G24" s="283"/>
      <c r="H24" s="328"/>
      <c r="I24" s="296"/>
      <c r="J24" s="287"/>
      <c r="K24" s="297"/>
      <c r="L24" s="296"/>
      <c r="M24" s="291"/>
      <c r="N24" s="308"/>
      <c r="O24" s="296"/>
      <c r="P24" s="274"/>
      <c r="Q24" s="275"/>
    </row>
    <row r="25" spans="1:17" x14ac:dyDescent="0.2">
      <c r="A25" s="213"/>
      <c r="B25" s="281"/>
      <c r="C25" s="211"/>
      <c r="D25" s="285"/>
      <c r="E25" s="297"/>
      <c r="F25" s="296"/>
      <c r="G25" s="287"/>
      <c r="H25" s="329" t="s">
        <v>315</v>
      </c>
      <c r="I25" s="305" t="str">
        <f>IF(COUNTBLANK(G24:G26)&gt;1,"",IF(G24&gt;G26,F24,F26))</f>
        <v/>
      </c>
      <c r="J25" s="284"/>
      <c r="K25" s="297"/>
      <c r="L25" s="303"/>
      <c r="M25" s="291"/>
      <c r="N25" s="308"/>
      <c r="O25" s="296"/>
      <c r="P25" s="274"/>
    </row>
    <row r="26" spans="1:17" x14ac:dyDescent="0.2">
      <c r="A26" s="273" t="s">
        <v>543</v>
      </c>
      <c r="B26" s="279"/>
      <c r="C26" s="210" t="str">
        <f>IF(B26="","",VLOOKUP(B26,prezentace!A$2:E$200,5))</f>
        <v/>
      </c>
      <c r="D26" s="283"/>
      <c r="E26" s="293" t="s">
        <v>110</v>
      </c>
      <c r="F26" s="305" t="str">
        <f>IF(COUNTBLANK(D26:D27)&gt;0,"",IF(D26&gt;D27,C26,C27))</f>
        <v/>
      </c>
      <c r="G26" s="284"/>
      <c r="H26" s="297"/>
      <c r="I26" s="296"/>
      <c r="J26" s="285"/>
      <c r="K26" s="297"/>
      <c r="L26" s="296"/>
      <c r="M26" s="291"/>
      <c r="N26" s="308"/>
      <c r="O26" s="296"/>
      <c r="P26" s="274"/>
    </row>
    <row r="27" spans="1:17" x14ac:dyDescent="0.2">
      <c r="A27" s="277" t="s">
        <v>546</v>
      </c>
      <c r="B27" s="280"/>
      <c r="C27" s="212" t="str">
        <f>IF(B27="","",VLOOKUP(B27,prezentace!A$2:E$200,5))</f>
        <v/>
      </c>
      <c r="D27" s="284"/>
      <c r="E27" s="297"/>
      <c r="F27" s="296"/>
      <c r="G27" s="285"/>
      <c r="H27" s="297"/>
      <c r="I27" s="296"/>
      <c r="J27" s="285"/>
      <c r="K27" s="297"/>
      <c r="L27" s="296"/>
      <c r="M27" s="285"/>
      <c r="N27" s="297"/>
      <c r="O27" s="296"/>
      <c r="P27" s="274"/>
    </row>
    <row r="28" spans="1:17" x14ac:dyDescent="0.2">
      <c r="J28" s="285"/>
      <c r="K28" s="297"/>
      <c r="L28" s="296"/>
      <c r="M28" s="291"/>
      <c r="N28" s="308"/>
      <c r="O28" s="296"/>
    </row>
    <row r="29" spans="1:17" x14ac:dyDescent="0.2">
      <c r="J29" s="285"/>
      <c r="K29" s="297"/>
      <c r="L29" s="296"/>
    </row>
  </sheetData>
  <mergeCells count="7">
    <mergeCell ref="A1:O1"/>
    <mergeCell ref="A4:D4"/>
    <mergeCell ref="E4:G4"/>
    <mergeCell ref="H4:J4"/>
    <mergeCell ref="K4:M4"/>
    <mergeCell ref="N4:O4"/>
    <mergeCell ref="A2:O2"/>
  </mergeCells>
  <pageMargins left="0.78740157480314965" right="0.39370078740157483" top="0.39370078740157483" bottom="0"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L51"/>
  <sheetViews>
    <sheetView showGridLines="0" view="pageBreakPreview" zoomScaleNormal="85" zoomScaleSheetLayoutView="100" workbookViewId="0">
      <selection activeCell="J20" sqref="J20"/>
    </sheetView>
  </sheetViews>
  <sheetFormatPr defaultRowHeight="12.75" x14ac:dyDescent="0.2"/>
  <cols>
    <col min="1" max="2" width="9.28515625" style="198" bestFit="1" customWidth="1"/>
    <col min="3" max="3" width="1.7109375" style="67" customWidth="1"/>
    <col min="4" max="4" width="2.42578125" style="67" customWidth="1"/>
    <col min="5" max="5" width="37.5703125" style="67" customWidth="1"/>
    <col min="6" max="6" width="2.42578125" style="67" customWidth="1"/>
    <col min="7" max="7" width="37.5703125" style="67" customWidth="1"/>
    <col min="8" max="8" width="2.28515625" style="67" customWidth="1"/>
    <col min="9" max="9" width="16.85546875" style="155" customWidth="1"/>
    <col min="10" max="10" width="13.42578125" style="67" customWidth="1"/>
    <col min="11" max="16384" width="9.140625" style="67"/>
  </cols>
  <sheetData>
    <row r="1" spans="1:12" ht="16.5" thickBot="1" x14ac:dyDescent="0.25">
      <c r="A1" s="195" t="s">
        <v>191</v>
      </c>
      <c r="B1" s="196"/>
      <c r="C1" s="194"/>
      <c r="D1" s="194"/>
      <c r="E1" s="73"/>
      <c r="F1" s="73"/>
      <c r="G1" s="73"/>
      <c r="H1" s="194"/>
      <c r="I1" s="199"/>
    </row>
    <row r="2" spans="1:12" ht="15" x14ac:dyDescent="0.2">
      <c r="A2" s="203" t="s">
        <v>231</v>
      </c>
      <c r="B2" s="204" t="s">
        <v>232</v>
      </c>
      <c r="D2" s="387" t="s">
        <v>507</v>
      </c>
      <c r="E2" s="388"/>
      <c r="F2" s="387" t="s">
        <v>508</v>
      </c>
      <c r="G2" s="388"/>
      <c r="I2" s="158" t="s">
        <v>128</v>
      </c>
    </row>
    <row r="3" spans="1:12" x14ac:dyDescent="0.2">
      <c r="A3" s="197">
        <v>1</v>
      </c>
      <c r="B3" s="197">
        <v>2</v>
      </c>
      <c r="D3" s="65">
        <v>1</v>
      </c>
      <c r="E3" s="66" t="str">
        <f>IF(A3="","",VLOOKUP(A3,prezentace!A$2:E$200,5))</f>
        <v>GRABOVSKÝ Jaroslav (SKST Hodonín)</v>
      </c>
      <c r="F3" s="65">
        <v>1</v>
      </c>
      <c r="G3" s="66" t="str">
        <f>IF(B3="","",VLOOKUP(B3,prezentace!A$2:G$200,5))</f>
        <v>NOVOHRADSKÁ Karolína (KST Blansko)</v>
      </c>
      <c r="I3" s="162" t="s">
        <v>54</v>
      </c>
    </row>
    <row r="4" spans="1:12" x14ac:dyDescent="0.2">
      <c r="A4" s="197">
        <v>14</v>
      </c>
      <c r="B4" s="197">
        <v>15</v>
      </c>
      <c r="D4" s="65">
        <v>2</v>
      </c>
      <c r="E4" s="66" t="str">
        <f>IF(A4="","",VLOOKUP(A4,prezentace!A$2:E$200,5))</f>
        <v>ŠTĚPÁNEK Ondřej (KST Blansko)</v>
      </c>
      <c r="F4" s="65">
        <v>2</v>
      </c>
      <c r="G4" s="66" t="str">
        <f>IF(B4="","",VLOOKUP(B4,prezentace!A$2:G$200,5))</f>
        <v>HOLUBOVÁ Simona (SKST Hodonín)</v>
      </c>
      <c r="I4" s="163" t="s">
        <v>55</v>
      </c>
    </row>
    <row r="5" spans="1:12" x14ac:dyDescent="0.2">
      <c r="A5" s="197">
        <v>23</v>
      </c>
      <c r="B5" s="197">
        <v>18</v>
      </c>
      <c r="D5" s="65">
        <v>3</v>
      </c>
      <c r="E5" s="66" t="str">
        <f>IF(A5="","",VLOOKUP(A5,prezentace!A$2:E$200,5))</f>
        <v>KURDIOVSKÝ Matěj (TTC Koral Tišnov)</v>
      </c>
      <c r="F5" s="65">
        <v>3</v>
      </c>
      <c r="G5" s="66" t="str">
        <f>IF(B5="","",VLOOKUP(B5,prezentace!A$2:G$200,5))</f>
        <v>HORNÍČEK Lukáš (TTC MS Brno)</v>
      </c>
      <c r="I5" s="164" t="s">
        <v>56</v>
      </c>
    </row>
    <row r="6" spans="1:12" ht="13.5" thickBot="1" x14ac:dyDescent="0.25">
      <c r="A6" s="197"/>
      <c r="B6" s="197">
        <v>26</v>
      </c>
      <c r="D6" s="68">
        <v>4</v>
      </c>
      <c r="E6" s="66" t="str">
        <f>IF(A6="","",VLOOKUP(A6,prezentace!A$2:E$200,5))</f>
        <v/>
      </c>
      <c r="F6" s="68">
        <v>4</v>
      </c>
      <c r="G6" s="66" t="str">
        <f>IF(B6="","",VLOOKUP(B6,prezentace!A$2:G$200,5))</f>
        <v>GRÜNWALD Michal (KST Vyškov)</v>
      </c>
    </row>
    <row r="7" spans="1:12" ht="15" x14ac:dyDescent="0.2">
      <c r="A7" s="203" t="s">
        <v>233</v>
      </c>
      <c r="B7" s="204" t="s">
        <v>234</v>
      </c>
      <c r="D7" s="387" t="s">
        <v>509</v>
      </c>
      <c r="E7" s="388"/>
      <c r="F7" s="387" t="s">
        <v>510</v>
      </c>
      <c r="G7" s="388"/>
      <c r="I7" s="156"/>
    </row>
    <row r="8" spans="1:12" ht="18" x14ac:dyDescent="0.2">
      <c r="A8" s="197">
        <v>3</v>
      </c>
      <c r="B8" s="197">
        <v>4</v>
      </c>
      <c r="D8" s="65">
        <v>1</v>
      </c>
      <c r="E8" s="66" t="str">
        <f>IF(A8="","",VLOOKUP(A8,prezentace!A$2:E$200,5))</f>
        <v>MASOPUSTOVÁ Lucie (MSK Břeclav)</v>
      </c>
      <c r="F8" s="65">
        <v>1</v>
      </c>
      <c r="G8" s="66" t="str">
        <f>IF(B8="","",VLOOKUP(B8,prezentace!A$2:G$200,5))</f>
        <v>SOBOTÍKOVÁ Monika (TTC MS Brno)</v>
      </c>
      <c r="I8" s="201"/>
      <c r="J8" s="386" t="s">
        <v>312</v>
      </c>
      <c r="K8" s="386"/>
      <c r="L8" s="386"/>
    </row>
    <row r="9" spans="1:12" x14ac:dyDescent="0.2">
      <c r="A9" s="197">
        <v>12</v>
      </c>
      <c r="B9" s="197">
        <v>10</v>
      </c>
      <c r="D9" s="65">
        <v>2</v>
      </c>
      <c r="E9" s="66" t="str">
        <f>IF(A9="","",VLOOKUP(A9,prezentace!A$2:E$200,5))</f>
        <v>KREJČÍ David (TTC MS Brno)</v>
      </c>
      <c r="F9" s="65">
        <v>2</v>
      </c>
      <c r="G9" s="66" t="str">
        <f>IF(B9="","",VLOOKUP(B9,prezentace!A$2:G$200,5))</f>
        <v>LUSKA Petr (KST Vyškov)</v>
      </c>
      <c r="I9" s="166"/>
      <c r="J9" s="389">
        <f ca="1">RANDBETWEEN(1,8)</f>
        <v>7</v>
      </c>
      <c r="K9" s="389"/>
      <c r="L9" s="389"/>
    </row>
    <row r="10" spans="1:12" x14ac:dyDescent="0.2">
      <c r="A10" s="197">
        <v>25</v>
      </c>
      <c r="B10" s="197">
        <v>19</v>
      </c>
      <c r="D10" s="65">
        <v>3</v>
      </c>
      <c r="E10" s="66" t="str">
        <f>IF(A10="","",VLOOKUP(A10,prezentace!A$2:E$200,5))</f>
        <v>ŠTĚRBÁK Lukáš (SKST Hodonín)</v>
      </c>
      <c r="F10" s="65">
        <v>3</v>
      </c>
      <c r="G10" s="66" t="str">
        <f>IF(B10="","",VLOOKUP(B10,prezentace!A$2:G$200,5))</f>
        <v>KOTÁSKOVÁ Kristýna (SKST Hodonín)</v>
      </c>
      <c r="I10" s="202"/>
      <c r="J10" s="389"/>
      <c r="K10" s="389"/>
      <c r="L10" s="389"/>
    </row>
    <row r="11" spans="1:12" s="76" customFormat="1" ht="15.75" thickBot="1" x14ac:dyDescent="0.25">
      <c r="A11" s="197">
        <v>21</v>
      </c>
      <c r="B11" s="197">
        <v>27</v>
      </c>
      <c r="D11" s="68">
        <v>4</v>
      </c>
      <c r="E11" s="66" t="str">
        <f>IF(A11="","",VLOOKUP(A11,prezentace!A$2:E$200,5))</f>
        <v>VINCENEC Oliver (KST Vyškov)</v>
      </c>
      <c r="F11" s="68">
        <v>4</v>
      </c>
      <c r="G11" s="66" t="str">
        <f>IF(B11="","",VLOOKUP(B11,prezentace!A$2:G$200,5))</f>
        <v>BAHENSKÝ Tomáš (TTC Koral Tišnov)</v>
      </c>
      <c r="H11" s="74"/>
      <c r="I11" s="156"/>
      <c r="J11" s="389"/>
      <c r="K11" s="389"/>
      <c r="L11" s="389"/>
    </row>
    <row r="12" spans="1:12" s="69" customFormat="1" ht="15" customHeight="1" x14ac:dyDescent="0.2">
      <c r="A12" s="203" t="s">
        <v>235</v>
      </c>
      <c r="B12" s="204" t="s">
        <v>236</v>
      </c>
      <c r="D12" s="387" t="s">
        <v>592</v>
      </c>
      <c r="E12" s="388"/>
      <c r="F12" s="387" t="s">
        <v>593</v>
      </c>
      <c r="G12" s="388"/>
      <c r="I12" s="77"/>
      <c r="J12" s="389"/>
      <c r="K12" s="389"/>
      <c r="L12" s="389"/>
    </row>
    <row r="13" spans="1:12" ht="15" customHeight="1" x14ac:dyDescent="0.2">
      <c r="A13" s="197">
        <v>5</v>
      </c>
      <c r="B13" s="197">
        <v>6</v>
      </c>
      <c r="D13" s="65">
        <v>1</v>
      </c>
      <c r="E13" s="66" t="str">
        <f>IF(A13="","",VLOOKUP(A13,prezentace!A$2:E$200,5))</f>
        <v>KRIŠTOF Lukáš (TTC Koral Tišnov)</v>
      </c>
      <c r="F13" s="65">
        <v>1</v>
      </c>
      <c r="G13" s="66" t="str">
        <f>IF(B13="","",VLOOKUP(B13,prezentace!A$2:G$200,5))</f>
        <v>BUK Lukáš (TTC MS Brno)</v>
      </c>
      <c r="I13" s="202"/>
      <c r="J13" s="389"/>
      <c r="K13" s="389"/>
      <c r="L13" s="389"/>
    </row>
    <row r="14" spans="1:12" ht="15" customHeight="1" x14ac:dyDescent="0.2">
      <c r="A14" s="197">
        <v>9</v>
      </c>
      <c r="B14" s="197">
        <v>11</v>
      </c>
      <c r="D14" s="65">
        <v>2</v>
      </c>
      <c r="E14" s="66" t="str">
        <f>IF(A14="","",VLOOKUP(A14,prezentace!A$2:E$200,5))</f>
        <v>CHALÚPEK Filip (TTC MS Brno)</v>
      </c>
      <c r="F14" s="65">
        <v>2</v>
      </c>
      <c r="G14" s="66" t="str">
        <f>IF(B14="","",VLOOKUP(B14,prezentace!A$2:G$200,5))</f>
        <v>MAZALOVÁ Kristýna (KST Blansko)</v>
      </c>
      <c r="I14" s="201"/>
      <c r="J14" s="389"/>
      <c r="K14" s="389"/>
      <c r="L14" s="389"/>
    </row>
    <row r="15" spans="1:12" ht="15" customHeight="1" x14ac:dyDescent="0.2">
      <c r="A15" s="197">
        <v>30</v>
      </c>
      <c r="B15" s="197">
        <v>22</v>
      </c>
      <c r="D15" s="65">
        <v>3</v>
      </c>
      <c r="E15" s="66" t="str">
        <f>IF(A15="","",VLOOKUP(A15,prezentace!A$2:E$200,5))</f>
        <v>SVOBODA Ondřej (KST Vyškov)</v>
      </c>
      <c r="F15" s="65">
        <v>3</v>
      </c>
      <c r="G15" s="66" t="str">
        <f>IF(B15="","",VLOOKUP(B15,prezentace!A$2:G$200,5))</f>
        <v>NOVOTNÁ Eliška (SKST Hodonín)</v>
      </c>
      <c r="I15" s="166"/>
    </row>
    <row r="16" spans="1:12" ht="15" customHeight="1" thickBot="1" x14ac:dyDescent="0.25">
      <c r="A16" s="197">
        <v>28</v>
      </c>
      <c r="B16" s="197">
        <v>29</v>
      </c>
      <c r="D16" s="68">
        <v>4</v>
      </c>
      <c r="E16" s="66" t="str">
        <f>IF(A16="","",VLOOKUP(A16,prezentace!A$2:E$200,5))</f>
        <v>HABÁŇOVÁ Michaela (KST Blansko)</v>
      </c>
      <c r="F16" s="68">
        <v>4</v>
      </c>
      <c r="G16" s="66" t="str">
        <f>IF(B16="","",VLOOKUP(B16,prezentace!A$2:G$200,5))</f>
        <v>DREITS Anastasiia (TTC Koral Tišnov)</v>
      </c>
      <c r="I16" s="202"/>
    </row>
    <row r="17" spans="1:9" s="69" customFormat="1" ht="15" customHeight="1" x14ac:dyDescent="0.2">
      <c r="A17" s="203" t="s">
        <v>237</v>
      </c>
      <c r="B17" s="204" t="s">
        <v>238</v>
      </c>
      <c r="D17" s="387" t="s">
        <v>659</v>
      </c>
      <c r="E17" s="388"/>
      <c r="F17" s="387" t="s">
        <v>660</v>
      </c>
      <c r="G17" s="388"/>
      <c r="I17" s="201"/>
    </row>
    <row r="18" spans="1:9" ht="15" customHeight="1" x14ac:dyDescent="0.2">
      <c r="A18" s="197">
        <v>7</v>
      </c>
      <c r="B18" s="197">
        <v>8</v>
      </c>
      <c r="D18" s="65">
        <v>1</v>
      </c>
      <c r="E18" s="66" t="str">
        <f>IF(A18="","",VLOOKUP(A18,prezentace!A$2:E$200,5))</f>
        <v>POKORNÝ Martin (KST Blansko)</v>
      </c>
      <c r="F18" s="65">
        <v>1</v>
      </c>
      <c r="G18" s="66" t="str">
        <f>IF(B18="","",VLOOKUP(B18,prezentace!A$2:G$200,5))</f>
        <v>DOFEK David (KST Vyškov)</v>
      </c>
    </row>
    <row r="19" spans="1:9" ht="15" customHeight="1" x14ac:dyDescent="0.2">
      <c r="A19" s="197">
        <v>13</v>
      </c>
      <c r="B19" s="197">
        <v>16</v>
      </c>
      <c r="D19" s="65">
        <v>2</v>
      </c>
      <c r="E19" s="66" t="str">
        <f>IF(A19="","",VLOOKUP(A19,prezentace!A$2:E$200,5))</f>
        <v>HAVRÁNEK Ondřej (TTC MS Brno)</v>
      </c>
      <c r="F19" s="65">
        <v>2</v>
      </c>
      <c r="G19" s="66" t="str">
        <f>IF(B19="","",VLOOKUP(B19,prezentace!A$2:G$200,5))</f>
        <v>PILITOWSKÁ Lea (KST Blansko)</v>
      </c>
      <c r="I19" s="202"/>
    </row>
    <row r="20" spans="1:9" ht="15" customHeight="1" x14ac:dyDescent="0.2">
      <c r="A20" s="197">
        <v>20</v>
      </c>
      <c r="B20" s="197">
        <v>17</v>
      </c>
      <c r="D20" s="65">
        <v>3</v>
      </c>
      <c r="E20" s="66" t="str">
        <f>IF(A20="","",VLOOKUP(A20,prezentace!A$2:E$200,5))</f>
        <v>KRÁL Ondřej (SKST Hodonín)</v>
      </c>
      <c r="F20" s="65">
        <v>3</v>
      </c>
      <c r="G20" s="66" t="str">
        <f>IF(B20="","",VLOOKUP(B20,prezentace!A$2:G$200,5))</f>
        <v>PAŘÍZEK Richard (SKST Hodonín)</v>
      </c>
      <c r="I20" s="201"/>
    </row>
    <row r="21" spans="1:9" ht="15" customHeight="1" thickBot="1" x14ac:dyDescent="0.25">
      <c r="A21" s="197"/>
      <c r="B21" s="197">
        <v>24</v>
      </c>
      <c r="D21" s="68">
        <v>4</v>
      </c>
      <c r="E21" s="272" t="str">
        <f>IF(A21="","",VLOOKUP(A21,prezentace!A$2:E$200,5))</f>
        <v/>
      </c>
      <c r="F21" s="68">
        <v>4</v>
      </c>
      <c r="G21" s="272" t="str">
        <f>IF(B21="","",VLOOKUP(B21,prezentace!A$2:G$200,5))</f>
        <v>ŠIMEČEK Robin (TTC MS Brno)</v>
      </c>
    </row>
    <row r="22" spans="1:9" ht="15" x14ac:dyDescent="0.2">
      <c r="A22" s="203" t="s">
        <v>239</v>
      </c>
      <c r="B22" s="204" t="s">
        <v>240</v>
      </c>
      <c r="D22" s="387" t="s">
        <v>511</v>
      </c>
      <c r="E22" s="388"/>
      <c r="F22" s="387" t="s">
        <v>512</v>
      </c>
      <c r="G22" s="388"/>
      <c r="I22" s="166"/>
    </row>
    <row r="23" spans="1:9" x14ac:dyDescent="0.2">
      <c r="A23" s="197"/>
      <c r="B23" s="197"/>
      <c r="D23" s="65">
        <v>1</v>
      </c>
      <c r="E23" s="66" t="str">
        <f>IF(A23="","",VLOOKUP(A23,prezentace!A$2:E$200,5))</f>
        <v/>
      </c>
      <c r="F23" s="65">
        <v>1</v>
      </c>
      <c r="G23" s="66" t="str">
        <f>IF(B23="","",VLOOKUP(B23,prezentace!A$2:G$200,5))</f>
        <v/>
      </c>
      <c r="I23" s="200"/>
    </row>
    <row r="24" spans="1:9" x14ac:dyDescent="0.2">
      <c r="A24" s="197"/>
      <c r="B24" s="197"/>
      <c r="D24" s="65">
        <v>2</v>
      </c>
      <c r="E24" s="66" t="str">
        <f>IF(A24="","",VLOOKUP(A24,prezentace!A$2:E$200,5))</f>
        <v/>
      </c>
      <c r="F24" s="65">
        <v>2</v>
      </c>
      <c r="G24" s="66" t="str">
        <f>IF(B24="","",VLOOKUP(B24,prezentace!A$2:G$200,5))</f>
        <v/>
      </c>
      <c r="I24" s="166"/>
    </row>
    <row r="25" spans="1:9" x14ac:dyDescent="0.2">
      <c r="A25" s="197"/>
      <c r="B25" s="197"/>
      <c r="D25" s="65">
        <v>3</v>
      </c>
      <c r="E25" s="66" t="str">
        <f>IF(A25="","",VLOOKUP(A25,prezentace!A$2:E$200,5))</f>
        <v/>
      </c>
      <c r="F25" s="65">
        <v>3</v>
      </c>
      <c r="G25" s="66" t="str">
        <f>IF(B25="","",VLOOKUP(B25,prezentace!A$2:G$200,5))</f>
        <v/>
      </c>
      <c r="I25" s="166"/>
    </row>
    <row r="26" spans="1:9" ht="13.5" thickBot="1" x14ac:dyDescent="0.25">
      <c r="A26" s="197"/>
      <c r="B26" s="197"/>
      <c r="D26" s="68">
        <v>4</v>
      </c>
      <c r="E26" s="66" t="str">
        <f>IF(A26="","",VLOOKUP(A26,prezentace!A$2:E$200,5))</f>
        <v/>
      </c>
      <c r="F26" s="68">
        <v>4</v>
      </c>
      <c r="G26" s="66" t="str">
        <f>IF(B26="","",VLOOKUP(B26,prezentace!A$2:G$200,5))</f>
        <v/>
      </c>
    </row>
    <row r="27" spans="1:9" ht="15" x14ac:dyDescent="0.2">
      <c r="A27" s="203" t="s">
        <v>241</v>
      </c>
      <c r="B27" s="204" t="s">
        <v>242</v>
      </c>
      <c r="D27" s="387" t="s">
        <v>513</v>
      </c>
      <c r="E27" s="388"/>
      <c r="F27" s="387" t="s">
        <v>514</v>
      </c>
      <c r="G27" s="388"/>
      <c r="I27" s="156"/>
    </row>
    <row r="28" spans="1:9" x14ac:dyDescent="0.2">
      <c r="A28" s="197"/>
      <c r="B28" s="197"/>
      <c r="D28" s="65">
        <v>1</v>
      </c>
      <c r="E28" s="66" t="str">
        <f>IF(A28="","",VLOOKUP(A28,prezentace!A$2:E$200,5))</f>
        <v/>
      </c>
      <c r="F28" s="65">
        <v>1</v>
      </c>
      <c r="G28" s="66" t="str">
        <f>IF(B28="","",VLOOKUP(B28,prezentace!A$2:G$200,5))</f>
        <v/>
      </c>
      <c r="I28" s="201"/>
    </row>
    <row r="29" spans="1:9" x14ac:dyDescent="0.2">
      <c r="A29" s="197"/>
      <c r="B29" s="197"/>
      <c r="D29" s="65">
        <v>2</v>
      </c>
      <c r="E29" s="66" t="str">
        <f>IF(A29="","",VLOOKUP(A29,prezentace!A$2:E$200,5))</f>
        <v/>
      </c>
      <c r="F29" s="65">
        <v>2</v>
      </c>
      <c r="G29" s="66" t="str">
        <f>IF(B29="","",VLOOKUP(B29,prezentace!A$2:G$200,5))</f>
        <v/>
      </c>
      <c r="I29" s="166"/>
    </row>
    <row r="30" spans="1:9" x14ac:dyDescent="0.2">
      <c r="A30" s="197"/>
      <c r="B30" s="197"/>
      <c r="D30" s="65">
        <v>3</v>
      </c>
      <c r="E30" s="66" t="str">
        <f>IF(A30="","",VLOOKUP(A30,prezentace!A$2:E$200,5))</f>
        <v/>
      </c>
      <c r="F30" s="65">
        <v>3</v>
      </c>
      <c r="G30" s="66" t="str">
        <f>IF(B30="","",VLOOKUP(B30,prezentace!A$2:G$200,5))</f>
        <v/>
      </c>
      <c r="I30" s="202"/>
    </row>
    <row r="31" spans="1:9" s="76" customFormat="1" ht="15.75" thickBot="1" x14ac:dyDescent="0.25">
      <c r="A31" s="197"/>
      <c r="B31" s="197"/>
      <c r="D31" s="68">
        <v>4</v>
      </c>
      <c r="E31" s="66" t="str">
        <f>IF(A31="","",VLOOKUP(A31,prezentace!A$2:E$200,5))</f>
        <v/>
      </c>
      <c r="F31" s="68">
        <v>4</v>
      </c>
      <c r="G31" s="66" t="str">
        <f>IF(B31="","",VLOOKUP(B31,prezentace!A$2:G$200,5))</f>
        <v/>
      </c>
      <c r="H31" s="74"/>
      <c r="I31" s="156"/>
    </row>
    <row r="32" spans="1:9" s="69" customFormat="1" ht="15" customHeight="1" x14ac:dyDescent="0.2">
      <c r="A32" s="203" t="s">
        <v>243</v>
      </c>
      <c r="B32" s="204" t="s">
        <v>244</v>
      </c>
      <c r="D32" s="387" t="s">
        <v>515</v>
      </c>
      <c r="E32" s="388"/>
      <c r="F32" s="387" t="s">
        <v>516</v>
      </c>
      <c r="G32" s="388"/>
      <c r="I32" s="77"/>
    </row>
    <row r="33" spans="1:9" ht="15" customHeight="1" x14ac:dyDescent="0.2">
      <c r="A33" s="197"/>
      <c r="B33" s="197"/>
      <c r="D33" s="65">
        <v>1</v>
      </c>
      <c r="E33" s="66" t="str">
        <f>IF(A33="","",VLOOKUP(A33,prezentace!A$2:E$200,5))</f>
        <v/>
      </c>
      <c r="F33" s="65">
        <v>1</v>
      </c>
      <c r="G33" s="66" t="str">
        <f>IF(B33="","",VLOOKUP(B33,prezentace!A$2:G$200,5))</f>
        <v/>
      </c>
      <c r="I33" s="202"/>
    </row>
    <row r="34" spans="1:9" ht="15" customHeight="1" x14ac:dyDescent="0.2">
      <c r="A34" s="197"/>
      <c r="B34" s="197"/>
      <c r="D34" s="65">
        <v>2</v>
      </c>
      <c r="E34" s="66" t="str">
        <f>IF(A34="","",VLOOKUP(A34,prezentace!A$2:E$200,5))</f>
        <v/>
      </c>
      <c r="F34" s="65">
        <v>2</v>
      </c>
      <c r="G34" s="66" t="str">
        <f>IF(B34="","",VLOOKUP(B34,prezentace!A$2:G$200,5))</f>
        <v/>
      </c>
      <c r="I34" s="201"/>
    </row>
    <row r="35" spans="1:9" ht="15" customHeight="1" x14ac:dyDescent="0.2">
      <c r="A35" s="197"/>
      <c r="B35" s="197"/>
      <c r="D35" s="65">
        <v>3</v>
      </c>
      <c r="E35" s="66" t="str">
        <f>IF(A35="","",VLOOKUP(A35,prezentace!A$2:E$200,5))</f>
        <v/>
      </c>
      <c r="F35" s="65">
        <v>3</v>
      </c>
      <c r="G35" s="66" t="str">
        <f>IF(B35="","",VLOOKUP(B35,prezentace!A$2:G$200,5))</f>
        <v/>
      </c>
      <c r="I35" s="166"/>
    </row>
    <row r="36" spans="1:9" ht="15" customHeight="1" thickBot="1" x14ac:dyDescent="0.25">
      <c r="A36" s="197"/>
      <c r="B36" s="197"/>
      <c r="D36" s="68">
        <v>4</v>
      </c>
      <c r="E36" s="66" t="str">
        <f>IF(A36="","",VLOOKUP(A36,prezentace!A$2:E$200,5))</f>
        <v/>
      </c>
      <c r="F36" s="68">
        <v>4</v>
      </c>
      <c r="G36" s="66" t="str">
        <f>IF(B36="","",VLOOKUP(B36,prezentace!A$2:G$200,5))</f>
        <v/>
      </c>
      <c r="I36" s="202"/>
    </row>
    <row r="37" spans="1:9" s="69" customFormat="1" ht="15" customHeight="1" x14ac:dyDescent="0.2">
      <c r="A37" s="203" t="s">
        <v>245</v>
      </c>
      <c r="B37" s="204" t="s">
        <v>246</v>
      </c>
      <c r="D37" s="387" t="s">
        <v>594</v>
      </c>
      <c r="E37" s="388"/>
      <c r="F37" s="387" t="s">
        <v>595</v>
      </c>
      <c r="G37" s="388"/>
      <c r="I37" s="201"/>
    </row>
    <row r="38" spans="1:9" ht="15" customHeight="1" x14ac:dyDescent="0.2">
      <c r="A38" s="197"/>
      <c r="B38" s="197"/>
      <c r="D38" s="65">
        <v>1</v>
      </c>
      <c r="E38" s="66" t="str">
        <f>IF(A38="","",VLOOKUP(A38,prezentace!A$2:E$200,5))</f>
        <v/>
      </c>
      <c r="F38" s="65">
        <v>1</v>
      </c>
      <c r="G38" s="66" t="str">
        <f>IF(B38="","",VLOOKUP(B38,prezentace!A$2:G$200,5))</f>
        <v/>
      </c>
    </row>
    <row r="39" spans="1:9" ht="15" customHeight="1" x14ac:dyDescent="0.2">
      <c r="A39" s="197"/>
      <c r="B39" s="197"/>
      <c r="D39" s="65">
        <v>2</v>
      </c>
      <c r="E39" s="66" t="str">
        <f>IF(A39="","",VLOOKUP(A39,prezentace!A$2:E$200,5))</f>
        <v/>
      </c>
      <c r="F39" s="65">
        <v>2</v>
      </c>
      <c r="G39" s="66" t="str">
        <f>IF(B39="","",VLOOKUP(B39,prezentace!A$2:G$200,5))</f>
        <v/>
      </c>
    </row>
    <row r="40" spans="1:9" ht="15" customHeight="1" x14ac:dyDescent="0.2">
      <c r="A40" s="197"/>
      <c r="B40" s="197"/>
      <c r="D40" s="65">
        <v>3</v>
      </c>
      <c r="E40" s="66" t="str">
        <f>IF(A40="","",VLOOKUP(A40,prezentace!A$2:E$200,5))</f>
        <v/>
      </c>
      <c r="F40" s="65">
        <v>3</v>
      </c>
      <c r="G40" s="66" t="str">
        <f>IF(B40="","",VLOOKUP(B40,prezentace!A$2:G$200,5))</f>
        <v/>
      </c>
    </row>
    <row r="41" spans="1:9" ht="15" customHeight="1" thickBot="1" x14ac:dyDescent="0.25">
      <c r="A41" s="197"/>
      <c r="B41" s="197"/>
      <c r="D41" s="68">
        <v>4</v>
      </c>
      <c r="E41" s="66" t="str">
        <f>IF(A41="","",VLOOKUP(A41,prezentace!A$2:E$200,5))</f>
        <v/>
      </c>
      <c r="F41" s="68">
        <v>4</v>
      </c>
      <c r="G41" s="66" t="str">
        <f>IF(B41="","",VLOOKUP(B41,prezentace!A$2:G$200,5))</f>
        <v/>
      </c>
    </row>
    <row r="42" spans="1:9" ht="15" x14ac:dyDescent="0.2">
      <c r="A42" s="203" t="s">
        <v>247</v>
      </c>
      <c r="B42" s="204" t="s">
        <v>248</v>
      </c>
      <c r="C42" s="69"/>
      <c r="D42" s="387" t="s">
        <v>596</v>
      </c>
      <c r="E42" s="388"/>
      <c r="F42" s="387" t="s">
        <v>597</v>
      </c>
      <c r="G42" s="388"/>
    </row>
    <row r="43" spans="1:9" x14ac:dyDescent="0.2">
      <c r="A43" s="197"/>
      <c r="B43" s="197"/>
      <c r="D43" s="65">
        <v>1</v>
      </c>
      <c r="E43" s="66" t="str">
        <f>IF(A43="","",VLOOKUP(A43,prezentace!A$2:E$200,5))</f>
        <v/>
      </c>
      <c r="F43" s="65">
        <v>1</v>
      </c>
      <c r="G43" s="66" t="str">
        <f>IF(B43="","",VLOOKUP(B43,prezentace!A$2:G$200,5))</f>
        <v/>
      </c>
    </row>
    <row r="44" spans="1:9" x14ac:dyDescent="0.2">
      <c r="A44" s="197"/>
      <c r="B44" s="197"/>
      <c r="D44" s="65">
        <v>2</v>
      </c>
      <c r="E44" s="66" t="str">
        <f>IF(A44="","",VLOOKUP(A44,prezentace!A$2:E$200,5))</f>
        <v/>
      </c>
      <c r="F44" s="65">
        <v>2</v>
      </c>
      <c r="G44" s="66" t="str">
        <f>IF(B44="","",VLOOKUP(B44,prezentace!A$2:G$200,5))</f>
        <v/>
      </c>
    </row>
    <row r="45" spans="1:9" x14ac:dyDescent="0.2">
      <c r="A45" s="197"/>
      <c r="B45" s="197"/>
      <c r="D45" s="65">
        <v>3</v>
      </c>
      <c r="E45" s="66" t="str">
        <f>IF(A45="","",VLOOKUP(A45,prezentace!A$2:E$200,5))</f>
        <v/>
      </c>
      <c r="F45" s="65">
        <v>3</v>
      </c>
      <c r="G45" s="66" t="str">
        <f>IF(B45="","",VLOOKUP(B45,prezentace!A$2:G$200,5))</f>
        <v/>
      </c>
    </row>
    <row r="46" spans="1:9" ht="13.5" thickBot="1" x14ac:dyDescent="0.25">
      <c r="A46" s="197"/>
      <c r="B46" s="197"/>
      <c r="D46" s="68">
        <v>4</v>
      </c>
      <c r="E46" s="66" t="str">
        <f>IF(A46="","",VLOOKUP(A46,prezentace!A$2:E$200,5))</f>
        <v/>
      </c>
      <c r="F46" s="68">
        <v>4</v>
      </c>
      <c r="G46" s="66" t="str">
        <f>IF(B46="","",VLOOKUP(B46,prezentace!A$2:G$200,5))</f>
        <v/>
      </c>
    </row>
    <row r="47" spans="1:9" ht="15" x14ac:dyDescent="0.2">
      <c r="A47" s="203" t="s">
        <v>249</v>
      </c>
      <c r="B47" s="204" t="s">
        <v>250</v>
      </c>
      <c r="C47" s="69"/>
      <c r="D47" s="387" t="s">
        <v>598</v>
      </c>
      <c r="E47" s="388"/>
      <c r="F47" s="387" t="s">
        <v>599</v>
      </c>
      <c r="G47" s="388"/>
    </row>
    <row r="48" spans="1:9" x14ac:dyDescent="0.2">
      <c r="A48" s="197"/>
      <c r="B48" s="197"/>
      <c r="D48" s="65">
        <v>1</v>
      </c>
      <c r="E48" s="66" t="str">
        <f>IF(A48="","",VLOOKUP(A48,prezentace!A$2:E$200,5))</f>
        <v/>
      </c>
      <c r="F48" s="65">
        <v>1</v>
      </c>
      <c r="G48" s="66" t="str">
        <f>IF(B48="","",VLOOKUP(B48,prezentace!A$2:G$200,5))</f>
        <v/>
      </c>
    </row>
    <row r="49" spans="1:7" x14ac:dyDescent="0.2">
      <c r="A49" s="197"/>
      <c r="B49" s="197"/>
      <c r="D49" s="65">
        <v>2</v>
      </c>
      <c r="E49" s="66" t="str">
        <f>IF(A49="","",VLOOKUP(A49,prezentace!A$2:E$200,5))</f>
        <v/>
      </c>
      <c r="F49" s="65">
        <v>2</v>
      </c>
      <c r="G49" s="66" t="str">
        <f>IF(B49="","",VLOOKUP(B49,prezentace!A$2:G$200,5))</f>
        <v/>
      </c>
    </row>
    <row r="50" spans="1:7" x14ac:dyDescent="0.2">
      <c r="A50" s="197"/>
      <c r="B50" s="197"/>
      <c r="D50" s="65">
        <v>3</v>
      </c>
      <c r="E50" s="66" t="str">
        <f>IF(A50="","",VLOOKUP(A50,prezentace!A$2:E$200,5))</f>
        <v/>
      </c>
      <c r="F50" s="65">
        <v>3</v>
      </c>
      <c r="G50" s="66" t="str">
        <f>IF(B50="","",VLOOKUP(B50,prezentace!A$2:G$200,5))</f>
        <v/>
      </c>
    </row>
    <row r="51" spans="1:7" ht="13.5" thickBot="1" x14ac:dyDescent="0.25">
      <c r="A51" s="197"/>
      <c r="B51" s="197"/>
      <c r="D51" s="68">
        <v>4</v>
      </c>
      <c r="E51" s="272" t="str">
        <f>IF(A51="","",VLOOKUP(A51,prezentace!A$2:E$200,5))</f>
        <v/>
      </c>
      <c r="F51" s="68">
        <v>4</v>
      </c>
      <c r="G51" s="272" t="str">
        <f>IF(B51="","",VLOOKUP(B51,prezentace!A$2:G$200,5))</f>
        <v/>
      </c>
    </row>
  </sheetData>
  <mergeCells count="22">
    <mergeCell ref="D2:E2"/>
    <mergeCell ref="F2:G2"/>
    <mergeCell ref="D17:E17"/>
    <mergeCell ref="F17:G17"/>
    <mergeCell ref="D7:E7"/>
    <mergeCell ref="F7:G7"/>
    <mergeCell ref="D47:E47"/>
    <mergeCell ref="F47:G47"/>
    <mergeCell ref="D37:E37"/>
    <mergeCell ref="F37:G37"/>
    <mergeCell ref="D22:E22"/>
    <mergeCell ref="F22:G22"/>
    <mergeCell ref="F27:G27"/>
    <mergeCell ref="D32:E32"/>
    <mergeCell ref="F32:G32"/>
    <mergeCell ref="D27:E27"/>
    <mergeCell ref="J8:L8"/>
    <mergeCell ref="D12:E12"/>
    <mergeCell ref="J9:L14"/>
    <mergeCell ref="D42:E42"/>
    <mergeCell ref="F42:G42"/>
    <mergeCell ref="F12:G12"/>
  </mergeCells>
  <printOptions horizontalCentered="1" verticalCentered="1"/>
  <pageMargins left="0.59055118110236227" right="0.59055118110236227" top="0.39370078740157483" bottom="0.39370078740157483" header="0" footer="0"/>
  <pageSetup scale="135" pageOrder="overThenDown" orientation="landscape" horizontalDpi="360" verticalDpi="300" r:id="rId1"/>
  <headerFooter alignWithMargins="0"/>
  <rowBreaks count="1" manualBreakCount="1">
    <brk id="26" min="2"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59"/>
  <sheetViews>
    <sheetView showGridLines="0" view="pageBreakPreview" topLeftCell="A25" zoomScaleNormal="100" zoomScaleSheetLayoutView="100" workbookViewId="0">
      <selection activeCell="D21" sqref="D21"/>
    </sheetView>
  </sheetViews>
  <sheetFormatPr defaultRowHeight="12.75" x14ac:dyDescent="0.2"/>
  <cols>
    <col min="1" max="1" width="6.85546875" style="102" customWidth="1"/>
    <col min="2" max="2" width="5.5703125" style="102" bestFit="1" customWidth="1"/>
    <col min="3" max="4" width="23.85546875" style="89" customWidth="1"/>
    <col min="5" max="9" width="6.5703125" style="90" customWidth="1"/>
    <col min="10" max="10" width="9.42578125" style="88" customWidth="1"/>
    <col min="11" max="11" width="5.42578125" style="106" bestFit="1" customWidth="1"/>
    <col min="12" max="12" width="21.140625" style="106" customWidth="1"/>
    <col min="13" max="13" width="15" style="106" customWidth="1"/>
    <col min="14" max="14" width="15" style="90" customWidth="1"/>
    <col min="15" max="15" width="27.140625" style="90" bestFit="1" customWidth="1"/>
    <col min="16" max="18" width="5.7109375" style="90" bestFit="1" customWidth="1"/>
    <col min="19" max="19" width="8.140625" style="88" bestFit="1" customWidth="1"/>
    <col min="20" max="16384" width="9.140625" style="90"/>
  </cols>
  <sheetData>
    <row r="1" spans="1:14" ht="14.45" customHeight="1" x14ac:dyDescent="0.2">
      <c r="A1" s="103" t="s">
        <v>57</v>
      </c>
      <c r="B1" s="100" t="s">
        <v>60</v>
      </c>
      <c r="C1" s="94" t="s">
        <v>96</v>
      </c>
      <c r="D1" s="94" t="s">
        <v>97</v>
      </c>
      <c r="E1" s="93" t="s">
        <v>162</v>
      </c>
      <c r="F1" s="93" t="s">
        <v>163</v>
      </c>
      <c r="G1" s="93" t="s">
        <v>164</v>
      </c>
      <c r="H1" s="93" t="s">
        <v>221</v>
      </c>
      <c r="I1" s="93" t="s">
        <v>220</v>
      </c>
      <c r="J1" s="226" t="s">
        <v>161</v>
      </c>
    </row>
    <row r="2" spans="1:14" ht="23.25" x14ac:dyDescent="0.2">
      <c r="A2" s="317" t="s">
        <v>314</v>
      </c>
      <c r="B2" s="101"/>
      <c r="C2" s="99"/>
      <c r="D2" s="99"/>
      <c r="E2" s="225"/>
      <c r="F2" s="96"/>
      <c r="G2" s="96"/>
      <c r="H2" s="96"/>
      <c r="I2" s="96"/>
      <c r="J2" s="113"/>
    </row>
    <row r="3" spans="1:14" ht="24" thickBot="1" x14ac:dyDescent="0.25">
      <c r="A3" s="429" t="s">
        <v>165</v>
      </c>
      <c r="B3" s="430"/>
      <c r="C3" s="98"/>
      <c r="D3" s="92" t="s">
        <v>166</v>
      </c>
      <c r="E3" s="431"/>
      <c r="F3" s="431"/>
      <c r="G3" s="431"/>
      <c r="H3" s="431"/>
      <c r="I3" s="431"/>
      <c r="J3" s="432"/>
    </row>
    <row r="4" spans="1:14" ht="13.5" thickBot="1" x14ac:dyDescent="0.25"/>
    <row r="5" spans="1:14" ht="14.45" customHeight="1" x14ac:dyDescent="0.2">
      <c r="A5" s="103" t="s">
        <v>57</v>
      </c>
      <c r="B5" s="100" t="s">
        <v>60</v>
      </c>
      <c r="C5" s="94" t="s">
        <v>96</v>
      </c>
      <c r="D5" s="94" t="s">
        <v>97</v>
      </c>
      <c r="E5" s="93" t="s">
        <v>162</v>
      </c>
      <c r="F5" s="93" t="s">
        <v>163</v>
      </c>
      <c r="G5" s="93" t="s">
        <v>164</v>
      </c>
      <c r="H5" s="93" t="s">
        <v>221</v>
      </c>
      <c r="I5" s="93" t="s">
        <v>220</v>
      </c>
      <c r="J5" s="226" t="s">
        <v>161</v>
      </c>
    </row>
    <row r="6" spans="1:14" ht="23.25" x14ac:dyDescent="0.2">
      <c r="A6" s="317" t="s">
        <v>314</v>
      </c>
      <c r="B6" s="101"/>
      <c r="C6" s="99"/>
      <c r="D6" s="99"/>
      <c r="E6" s="96"/>
      <c r="F6" s="96"/>
      <c r="G6" s="96"/>
      <c r="H6" s="96"/>
      <c r="I6" s="96"/>
      <c r="J6" s="113"/>
      <c r="N6" s="227"/>
    </row>
    <row r="7" spans="1:14" ht="24" thickBot="1" x14ac:dyDescent="0.25">
      <c r="A7" s="429" t="s">
        <v>165</v>
      </c>
      <c r="B7" s="430"/>
      <c r="C7" s="98"/>
      <c r="D7" s="92" t="s">
        <v>166</v>
      </c>
      <c r="E7" s="431"/>
      <c r="F7" s="431"/>
      <c r="G7" s="431"/>
      <c r="H7" s="431"/>
      <c r="I7" s="431"/>
      <c r="J7" s="432"/>
    </row>
    <row r="8" spans="1:14" ht="12" customHeight="1" thickBot="1" x14ac:dyDescent="0.25">
      <c r="A8" s="105"/>
    </row>
    <row r="9" spans="1:14" ht="14.45" customHeight="1" x14ac:dyDescent="0.2">
      <c r="A9" s="103" t="s">
        <v>57</v>
      </c>
      <c r="B9" s="100" t="s">
        <v>60</v>
      </c>
      <c r="C9" s="94" t="s">
        <v>96</v>
      </c>
      <c r="D9" s="94" t="s">
        <v>97</v>
      </c>
      <c r="E9" s="93" t="s">
        <v>162</v>
      </c>
      <c r="F9" s="93" t="s">
        <v>163</v>
      </c>
      <c r="G9" s="93" t="s">
        <v>164</v>
      </c>
      <c r="H9" s="93" t="s">
        <v>221</v>
      </c>
      <c r="I9" s="93" t="s">
        <v>220</v>
      </c>
      <c r="J9" s="226" t="s">
        <v>161</v>
      </c>
    </row>
    <row r="10" spans="1:14" ht="23.25" x14ac:dyDescent="0.2">
      <c r="A10" s="317" t="s">
        <v>314</v>
      </c>
      <c r="B10" s="101"/>
      <c r="C10" s="99"/>
      <c r="D10" s="99"/>
      <c r="E10" s="96"/>
      <c r="F10" s="96"/>
      <c r="G10" s="96"/>
      <c r="H10" s="96"/>
      <c r="I10" s="96"/>
      <c r="J10" s="113"/>
    </row>
    <row r="11" spans="1:14" ht="24" thickBot="1" x14ac:dyDescent="0.25">
      <c r="A11" s="429" t="s">
        <v>165</v>
      </c>
      <c r="B11" s="430"/>
      <c r="C11" s="98"/>
      <c r="D11" s="92" t="s">
        <v>166</v>
      </c>
      <c r="E11" s="431"/>
      <c r="F11" s="431"/>
      <c r="G11" s="431"/>
      <c r="H11" s="431"/>
      <c r="I11" s="431"/>
      <c r="J11" s="432"/>
    </row>
    <row r="12" spans="1:14" ht="12" customHeight="1" thickBot="1" x14ac:dyDescent="0.25"/>
    <row r="13" spans="1:14" ht="14.45" customHeight="1" x14ac:dyDescent="0.2">
      <c r="A13" s="103" t="s">
        <v>57</v>
      </c>
      <c r="B13" s="100" t="s">
        <v>60</v>
      </c>
      <c r="C13" s="94" t="s">
        <v>96</v>
      </c>
      <c r="D13" s="94" t="s">
        <v>97</v>
      </c>
      <c r="E13" s="93" t="s">
        <v>162</v>
      </c>
      <c r="F13" s="93" t="s">
        <v>163</v>
      </c>
      <c r="G13" s="93" t="s">
        <v>164</v>
      </c>
      <c r="H13" s="93" t="s">
        <v>221</v>
      </c>
      <c r="I13" s="93" t="s">
        <v>220</v>
      </c>
      <c r="J13" s="226" t="s">
        <v>161</v>
      </c>
    </row>
    <row r="14" spans="1:14" ht="23.25" x14ac:dyDescent="0.2">
      <c r="A14" s="317" t="s">
        <v>314</v>
      </c>
      <c r="B14" s="101"/>
      <c r="C14" s="99"/>
      <c r="D14" s="99"/>
      <c r="E14" s="96"/>
      <c r="F14" s="96"/>
      <c r="G14" s="96"/>
      <c r="H14" s="96"/>
      <c r="I14" s="96"/>
      <c r="J14" s="113"/>
    </row>
    <row r="15" spans="1:14" ht="24" thickBot="1" x14ac:dyDescent="0.25">
      <c r="A15" s="429" t="s">
        <v>165</v>
      </c>
      <c r="B15" s="430"/>
      <c r="C15" s="98"/>
      <c r="D15" s="92" t="s">
        <v>166</v>
      </c>
      <c r="E15" s="431"/>
      <c r="F15" s="431"/>
      <c r="G15" s="431"/>
      <c r="H15" s="431"/>
      <c r="I15" s="431"/>
      <c r="J15" s="432"/>
    </row>
    <row r="16" spans="1:14" ht="12" customHeight="1" thickBot="1" x14ac:dyDescent="0.25">
      <c r="A16" s="105"/>
    </row>
    <row r="17" spans="1:10" ht="14.45" customHeight="1" x14ac:dyDescent="0.2">
      <c r="A17" s="103" t="s">
        <v>57</v>
      </c>
      <c r="B17" s="100" t="s">
        <v>60</v>
      </c>
      <c r="C17" s="94" t="s">
        <v>96</v>
      </c>
      <c r="D17" s="94" t="s">
        <v>97</v>
      </c>
      <c r="E17" s="93" t="s">
        <v>162</v>
      </c>
      <c r="F17" s="93" t="s">
        <v>163</v>
      </c>
      <c r="G17" s="93" t="s">
        <v>164</v>
      </c>
      <c r="H17" s="93" t="s">
        <v>221</v>
      </c>
      <c r="I17" s="93" t="s">
        <v>220</v>
      </c>
      <c r="J17" s="226" t="s">
        <v>161</v>
      </c>
    </row>
    <row r="18" spans="1:10" ht="23.25" x14ac:dyDescent="0.2">
      <c r="A18" s="317" t="s">
        <v>314</v>
      </c>
      <c r="B18" s="101"/>
      <c r="C18" s="99"/>
      <c r="D18" s="99"/>
      <c r="E18" s="96"/>
      <c r="F18" s="96"/>
      <c r="G18" s="96"/>
      <c r="H18" s="96"/>
      <c r="I18" s="96"/>
      <c r="J18" s="113"/>
    </row>
    <row r="19" spans="1:10" ht="24" thickBot="1" x14ac:dyDescent="0.25">
      <c r="A19" s="429" t="s">
        <v>165</v>
      </c>
      <c r="B19" s="430"/>
      <c r="C19" s="98"/>
      <c r="D19" s="92" t="s">
        <v>166</v>
      </c>
      <c r="E19" s="431"/>
      <c r="F19" s="431"/>
      <c r="G19" s="431"/>
      <c r="H19" s="431"/>
      <c r="I19" s="431"/>
      <c r="J19" s="432"/>
    </row>
    <row r="20" spans="1:10" ht="13.5" thickBot="1" x14ac:dyDescent="0.25">
      <c r="A20" s="105"/>
    </row>
    <row r="21" spans="1:10" x14ac:dyDescent="0.2">
      <c r="A21" s="103" t="s">
        <v>57</v>
      </c>
      <c r="B21" s="100" t="s">
        <v>60</v>
      </c>
      <c r="C21" s="94" t="s">
        <v>96</v>
      </c>
      <c r="D21" s="94" t="s">
        <v>97</v>
      </c>
      <c r="E21" s="93" t="s">
        <v>162</v>
      </c>
      <c r="F21" s="93" t="s">
        <v>163</v>
      </c>
      <c r="G21" s="93" t="s">
        <v>164</v>
      </c>
      <c r="H21" s="93" t="s">
        <v>221</v>
      </c>
      <c r="I21" s="93" t="s">
        <v>220</v>
      </c>
      <c r="J21" s="226" t="s">
        <v>161</v>
      </c>
    </row>
    <row r="22" spans="1:10" ht="23.25" x14ac:dyDescent="0.2">
      <c r="A22" s="317" t="s">
        <v>314</v>
      </c>
      <c r="B22" s="101"/>
      <c r="C22" s="99"/>
      <c r="D22" s="99"/>
      <c r="E22" s="96"/>
      <c r="F22" s="96"/>
      <c r="G22" s="96"/>
      <c r="H22" s="96"/>
      <c r="I22" s="96"/>
      <c r="J22" s="113"/>
    </row>
    <row r="23" spans="1:10" ht="24" thickBot="1" x14ac:dyDescent="0.25">
      <c r="A23" s="429" t="s">
        <v>165</v>
      </c>
      <c r="B23" s="430"/>
      <c r="C23" s="98"/>
      <c r="D23" s="92" t="s">
        <v>166</v>
      </c>
      <c r="E23" s="431"/>
      <c r="F23" s="431"/>
      <c r="G23" s="431"/>
      <c r="H23" s="431"/>
      <c r="I23" s="431"/>
      <c r="J23" s="432"/>
    </row>
    <row r="24" spans="1:10" ht="13.5" thickBot="1" x14ac:dyDescent="0.25"/>
    <row r="25" spans="1:10" ht="14.45" customHeight="1" x14ac:dyDescent="0.2">
      <c r="A25" s="103" t="s">
        <v>57</v>
      </c>
      <c r="B25" s="100" t="s">
        <v>60</v>
      </c>
      <c r="C25" s="94" t="s">
        <v>96</v>
      </c>
      <c r="D25" s="94" t="s">
        <v>97</v>
      </c>
      <c r="E25" s="93" t="s">
        <v>162</v>
      </c>
      <c r="F25" s="93" t="s">
        <v>163</v>
      </c>
      <c r="G25" s="93" t="s">
        <v>164</v>
      </c>
      <c r="H25" s="93" t="s">
        <v>221</v>
      </c>
      <c r="I25" s="93" t="s">
        <v>220</v>
      </c>
      <c r="J25" s="226" t="s">
        <v>161</v>
      </c>
    </row>
    <row r="26" spans="1:10" ht="23.25" x14ac:dyDescent="0.2">
      <c r="A26" s="317" t="s">
        <v>314</v>
      </c>
      <c r="B26" s="101"/>
      <c r="C26" s="99"/>
      <c r="D26" s="99"/>
      <c r="E26" s="96"/>
      <c r="F26" s="96"/>
      <c r="G26" s="96"/>
      <c r="H26" s="96"/>
      <c r="I26" s="96"/>
      <c r="J26" s="113"/>
    </row>
    <row r="27" spans="1:10" ht="24" thickBot="1" x14ac:dyDescent="0.25">
      <c r="A27" s="429" t="s">
        <v>165</v>
      </c>
      <c r="B27" s="430"/>
      <c r="C27" s="98"/>
      <c r="D27" s="92" t="s">
        <v>166</v>
      </c>
      <c r="E27" s="431"/>
      <c r="F27" s="431"/>
      <c r="G27" s="431"/>
      <c r="H27" s="431"/>
      <c r="I27" s="431"/>
      <c r="J27" s="432"/>
    </row>
    <row r="28" spans="1:10" ht="12" customHeight="1" thickBot="1" x14ac:dyDescent="0.25">
      <c r="A28" s="105"/>
    </row>
    <row r="29" spans="1:10" x14ac:dyDescent="0.2">
      <c r="A29" s="103" t="s">
        <v>57</v>
      </c>
      <c r="B29" s="100" t="s">
        <v>60</v>
      </c>
      <c r="C29" s="94" t="s">
        <v>96</v>
      </c>
      <c r="D29" s="94" t="s">
        <v>97</v>
      </c>
      <c r="E29" s="93" t="s">
        <v>162</v>
      </c>
      <c r="F29" s="93" t="s">
        <v>163</v>
      </c>
      <c r="G29" s="93" t="s">
        <v>164</v>
      </c>
      <c r="H29" s="93" t="s">
        <v>221</v>
      </c>
      <c r="I29" s="93" t="s">
        <v>220</v>
      </c>
      <c r="J29" s="226" t="s">
        <v>161</v>
      </c>
    </row>
    <row r="30" spans="1:10" ht="23.25" x14ac:dyDescent="0.2">
      <c r="A30" s="317" t="s">
        <v>314</v>
      </c>
      <c r="B30" s="101"/>
      <c r="C30" s="99"/>
      <c r="D30" s="99"/>
      <c r="E30" s="225"/>
      <c r="F30" s="96"/>
      <c r="G30" s="96"/>
      <c r="H30" s="96"/>
      <c r="I30" s="96"/>
      <c r="J30" s="113"/>
    </row>
    <row r="31" spans="1:10" ht="24" thickBot="1" x14ac:dyDescent="0.25">
      <c r="A31" s="429" t="s">
        <v>165</v>
      </c>
      <c r="B31" s="430"/>
      <c r="C31" s="98"/>
      <c r="D31" s="92" t="s">
        <v>166</v>
      </c>
      <c r="E31" s="431"/>
      <c r="F31" s="431"/>
      <c r="G31" s="431"/>
      <c r="H31" s="431"/>
      <c r="I31" s="431"/>
      <c r="J31" s="432"/>
    </row>
    <row r="32" spans="1:10" ht="13.5" thickBot="1" x14ac:dyDescent="0.25">
      <c r="A32" s="105"/>
    </row>
    <row r="33" spans="1:10" x14ac:dyDescent="0.2">
      <c r="A33" s="103" t="s">
        <v>57</v>
      </c>
      <c r="B33" s="100" t="s">
        <v>60</v>
      </c>
      <c r="C33" s="94" t="s">
        <v>96</v>
      </c>
      <c r="D33" s="94" t="s">
        <v>97</v>
      </c>
      <c r="E33" s="93" t="s">
        <v>162</v>
      </c>
      <c r="F33" s="93" t="s">
        <v>163</v>
      </c>
      <c r="G33" s="93" t="s">
        <v>164</v>
      </c>
      <c r="H33" s="93" t="s">
        <v>221</v>
      </c>
      <c r="I33" s="93" t="s">
        <v>220</v>
      </c>
      <c r="J33" s="226" t="s">
        <v>161</v>
      </c>
    </row>
    <row r="34" spans="1:10" ht="23.25" x14ac:dyDescent="0.2">
      <c r="A34" s="317" t="str">
        <f>'B-16H-pavouk'!E6</f>
        <v>1-8</v>
      </c>
      <c r="B34" s="101"/>
      <c r="C34" s="99"/>
      <c r="D34" s="99"/>
      <c r="E34" s="96"/>
      <c r="F34" s="96"/>
      <c r="G34" s="96"/>
      <c r="H34" s="96"/>
      <c r="I34" s="96"/>
      <c r="J34" s="113"/>
    </row>
    <row r="35" spans="1:10" ht="24" thickBot="1" x14ac:dyDescent="0.25">
      <c r="A35" s="429" t="s">
        <v>165</v>
      </c>
      <c r="B35" s="430"/>
      <c r="C35" s="98"/>
      <c r="D35" s="92" t="s">
        <v>166</v>
      </c>
      <c r="E35" s="431"/>
      <c r="F35" s="431"/>
      <c r="G35" s="431"/>
      <c r="H35" s="431"/>
      <c r="I35" s="431"/>
      <c r="J35" s="432"/>
    </row>
    <row r="36" spans="1:10" ht="13.5" thickBot="1" x14ac:dyDescent="0.25">
      <c r="A36" s="105"/>
    </row>
    <row r="37" spans="1:10" x14ac:dyDescent="0.2">
      <c r="A37" s="103" t="s">
        <v>57</v>
      </c>
      <c r="B37" s="100" t="s">
        <v>60</v>
      </c>
      <c r="C37" s="94" t="s">
        <v>96</v>
      </c>
      <c r="D37" s="94" t="s">
        <v>97</v>
      </c>
      <c r="E37" s="93" t="s">
        <v>162</v>
      </c>
      <c r="F37" s="93" t="s">
        <v>163</v>
      </c>
      <c r="G37" s="93" t="s">
        <v>164</v>
      </c>
      <c r="H37" s="93" t="s">
        <v>221</v>
      </c>
      <c r="I37" s="93" t="s">
        <v>220</v>
      </c>
      <c r="J37" s="226" t="s">
        <v>161</v>
      </c>
    </row>
    <row r="38" spans="1:10" ht="23.25" x14ac:dyDescent="0.2">
      <c r="A38" s="317" t="str">
        <f>'B-16H-pavouk'!E12</f>
        <v>1-8</v>
      </c>
      <c r="B38" s="101"/>
      <c r="C38" s="99"/>
      <c r="D38" s="99"/>
      <c r="E38" s="96"/>
      <c r="F38" s="96"/>
      <c r="G38" s="96"/>
      <c r="H38" s="96"/>
      <c r="I38" s="96"/>
      <c r="J38" s="113"/>
    </row>
    <row r="39" spans="1:10" ht="24" thickBot="1" x14ac:dyDescent="0.25">
      <c r="A39" s="429" t="s">
        <v>165</v>
      </c>
      <c r="B39" s="430"/>
      <c r="C39" s="98"/>
      <c r="D39" s="92" t="s">
        <v>166</v>
      </c>
      <c r="E39" s="431"/>
      <c r="F39" s="431"/>
      <c r="G39" s="431"/>
      <c r="H39" s="431"/>
      <c r="I39" s="431"/>
      <c r="J39" s="432"/>
    </row>
    <row r="40" spans="1:10" ht="13.5" thickBot="1" x14ac:dyDescent="0.25">
      <c r="A40" s="105"/>
    </row>
    <row r="41" spans="1:10" x14ac:dyDescent="0.2">
      <c r="A41" s="103" t="s">
        <v>57</v>
      </c>
      <c r="B41" s="100" t="s">
        <v>60</v>
      </c>
      <c r="C41" s="94" t="s">
        <v>96</v>
      </c>
      <c r="D41" s="94" t="s">
        <v>97</v>
      </c>
      <c r="E41" s="93" t="s">
        <v>162</v>
      </c>
      <c r="F41" s="93" t="s">
        <v>163</v>
      </c>
      <c r="G41" s="93" t="s">
        <v>164</v>
      </c>
      <c r="H41" s="93" t="s">
        <v>221</v>
      </c>
      <c r="I41" s="93" t="s">
        <v>220</v>
      </c>
      <c r="J41" s="226" t="s">
        <v>161</v>
      </c>
    </row>
    <row r="42" spans="1:10" ht="23.25" x14ac:dyDescent="0.2">
      <c r="A42" s="317" t="str">
        <f>'B-16H-pavouk'!E18</f>
        <v>1-8</v>
      </c>
      <c r="B42" s="101"/>
      <c r="C42" s="99"/>
      <c r="D42" s="99"/>
      <c r="E42" s="96"/>
      <c r="F42" s="96"/>
      <c r="G42" s="96"/>
      <c r="H42" s="96"/>
      <c r="I42" s="96"/>
      <c r="J42" s="113"/>
    </row>
    <row r="43" spans="1:10" ht="24" thickBot="1" x14ac:dyDescent="0.25">
      <c r="A43" s="429" t="s">
        <v>165</v>
      </c>
      <c r="B43" s="430"/>
      <c r="C43" s="98"/>
      <c r="D43" s="92" t="s">
        <v>166</v>
      </c>
      <c r="E43" s="431"/>
      <c r="F43" s="431"/>
      <c r="G43" s="431"/>
      <c r="H43" s="431"/>
      <c r="I43" s="431"/>
      <c r="J43" s="432"/>
    </row>
    <row r="44" spans="1:10" ht="13.5" thickBot="1" x14ac:dyDescent="0.25">
      <c r="A44" s="105"/>
    </row>
    <row r="45" spans="1:10" x14ac:dyDescent="0.2">
      <c r="A45" s="103" t="s">
        <v>57</v>
      </c>
      <c r="B45" s="100" t="s">
        <v>60</v>
      </c>
      <c r="C45" s="94" t="s">
        <v>96</v>
      </c>
      <c r="D45" s="94" t="s">
        <v>97</v>
      </c>
      <c r="E45" s="93" t="s">
        <v>162</v>
      </c>
      <c r="F45" s="93" t="s">
        <v>163</v>
      </c>
      <c r="G45" s="93" t="s">
        <v>164</v>
      </c>
      <c r="H45" s="93" t="s">
        <v>221</v>
      </c>
      <c r="I45" s="93" t="s">
        <v>220</v>
      </c>
      <c r="J45" s="226" t="s">
        <v>161</v>
      </c>
    </row>
    <row r="46" spans="1:10" ht="23.25" x14ac:dyDescent="0.2">
      <c r="A46" s="317" t="str">
        <f>'B-16H-pavouk'!E24</f>
        <v>1-8</v>
      </c>
      <c r="B46" s="101"/>
      <c r="C46" s="99"/>
      <c r="D46" s="99"/>
      <c r="E46" s="96"/>
      <c r="F46" s="96"/>
      <c r="G46" s="96"/>
      <c r="H46" s="96"/>
      <c r="I46" s="96"/>
      <c r="J46" s="113"/>
    </row>
    <row r="47" spans="1:10" ht="24" thickBot="1" x14ac:dyDescent="0.25">
      <c r="A47" s="429" t="s">
        <v>165</v>
      </c>
      <c r="B47" s="430"/>
      <c r="C47" s="98"/>
      <c r="D47" s="92" t="s">
        <v>166</v>
      </c>
      <c r="E47" s="431"/>
      <c r="F47" s="431"/>
      <c r="G47" s="431"/>
      <c r="H47" s="431"/>
      <c r="I47" s="431"/>
      <c r="J47" s="432"/>
    </row>
    <row r="48" spans="1:10" ht="13.5" thickBot="1" x14ac:dyDescent="0.25"/>
    <row r="49" spans="1:10" x14ac:dyDescent="0.2">
      <c r="A49" s="103" t="s">
        <v>57</v>
      </c>
      <c r="B49" s="100" t="s">
        <v>60</v>
      </c>
      <c r="C49" s="94" t="s">
        <v>96</v>
      </c>
      <c r="D49" s="94" t="s">
        <v>97</v>
      </c>
      <c r="E49" s="93" t="s">
        <v>162</v>
      </c>
      <c r="F49" s="93" t="s">
        <v>163</v>
      </c>
      <c r="G49" s="93" t="s">
        <v>164</v>
      </c>
      <c r="H49" s="93" t="s">
        <v>221</v>
      </c>
      <c r="I49" s="93" t="s">
        <v>220</v>
      </c>
      <c r="J49" s="226" t="s">
        <v>161</v>
      </c>
    </row>
    <row r="50" spans="1:10" ht="23.25" x14ac:dyDescent="0.2">
      <c r="A50" s="317" t="str">
        <f>'B-16H-pavouk'!H7</f>
        <v>1-4</v>
      </c>
      <c r="B50" s="101"/>
      <c r="C50" s="99"/>
      <c r="D50" s="99"/>
      <c r="E50" s="96"/>
      <c r="F50" s="96"/>
      <c r="G50" s="96"/>
      <c r="H50" s="96"/>
      <c r="I50" s="96"/>
      <c r="J50" s="113"/>
    </row>
    <row r="51" spans="1:10" ht="24" thickBot="1" x14ac:dyDescent="0.25">
      <c r="A51" s="429" t="s">
        <v>165</v>
      </c>
      <c r="B51" s="430"/>
      <c r="C51" s="98"/>
      <c r="D51" s="92" t="s">
        <v>166</v>
      </c>
      <c r="E51" s="431"/>
      <c r="F51" s="431"/>
      <c r="G51" s="431"/>
      <c r="H51" s="431"/>
      <c r="I51" s="431"/>
      <c r="J51" s="432"/>
    </row>
    <row r="52" spans="1:10" ht="13.5" thickBot="1" x14ac:dyDescent="0.25">
      <c r="A52" s="105"/>
    </row>
    <row r="53" spans="1:10" x14ac:dyDescent="0.2">
      <c r="A53" s="103" t="s">
        <v>57</v>
      </c>
      <c r="B53" s="100" t="s">
        <v>60</v>
      </c>
      <c r="C53" s="94" t="s">
        <v>96</v>
      </c>
      <c r="D53" s="94" t="s">
        <v>97</v>
      </c>
      <c r="E53" s="93" t="s">
        <v>162</v>
      </c>
      <c r="F53" s="93" t="s">
        <v>163</v>
      </c>
      <c r="G53" s="93" t="s">
        <v>164</v>
      </c>
      <c r="H53" s="93" t="s">
        <v>221</v>
      </c>
      <c r="I53" s="93" t="s">
        <v>220</v>
      </c>
      <c r="J53" s="226" t="s">
        <v>161</v>
      </c>
    </row>
    <row r="54" spans="1:10" ht="23.25" x14ac:dyDescent="0.2">
      <c r="A54" s="317" t="str">
        <f>'B-16H-pavouk'!H19</f>
        <v>1-4</v>
      </c>
      <c r="B54" s="101"/>
      <c r="C54" s="99"/>
      <c r="D54" s="99"/>
      <c r="E54" s="225"/>
      <c r="F54" s="96"/>
      <c r="G54" s="96"/>
      <c r="H54" s="96"/>
      <c r="I54" s="96"/>
      <c r="J54" s="113"/>
    </row>
    <row r="55" spans="1:10" ht="24" thickBot="1" x14ac:dyDescent="0.25">
      <c r="A55" s="429" t="s">
        <v>165</v>
      </c>
      <c r="B55" s="430"/>
      <c r="C55" s="98"/>
      <c r="D55" s="92" t="s">
        <v>166</v>
      </c>
      <c r="E55" s="431"/>
      <c r="F55" s="431"/>
      <c r="G55" s="431"/>
      <c r="H55" s="431"/>
      <c r="I55" s="431"/>
      <c r="J55" s="432"/>
    </row>
    <row r="56" spans="1:10" ht="12" customHeight="1" thickBot="1" x14ac:dyDescent="0.25">
      <c r="A56" s="105"/>
    </row>
    <row r="57" spans="1:10" x14ac:dyDescent="0.2">
      <c r="A57" s="103" t="s">
        <v>57</v>
      </c>
      <c r="B57" s="100" t="s">
        <v>60</v>
      </c>
      <c r="C57" s="94" t="s">
        <v>96</v>
      </c>
      <c r="D57" s="94" t="s">
        <v>97</v>
      </c>
      <c r="E57" s="93" t="s">
        <v>162</v>
      </c>
      <c r="F57" s="93" t="s">
        <v>163</v>
      </c>
      <c r="G57" s="93" t="s">
        <v>164</v>
      </c>
      <c r="H57" s="93" t="s">
        <v>221</v>
      </c>
      <c r="I57" s="93" t="s">
        <v>220</v>
      </c>
      <c r="J57" s="226" t="s">
        <v>161</v>
      </c>
    </row>
    <row r="58" spans="1:10" ht="23.25" x14ac:dyDescent="0.2">
      <c r="A58" s="317" t="str">
        <f>'B-16H-pavouk'!K10</f>
        <v>1-2</v>
      </c>
      <c r="B58" s="101"/>
      <c r="C58" s="99"/>
      <c r="D58" s="99"/>
      <c r="E58" s="225"/>
      <c r="F58" s="96"/>
      <c r="G58" s="96"/>
      <c r="H58" s="96"/>
      <c r="I58" s="96"/>
      <c r="J58" s="113"/>
    </row>
    <row r="59" spans="1:10" ht="24" thickBot="1" x14ac:dyDescent="0.25">
      <c r="A59" s="429" t="s">
        <v>165</v>
      </c>
      <c r="B59" s="430"/>
      <c r="C59" s="98"/>
      <c r="D59" s="92" t="s">
        <v>166</v>
      </c>
      <c r="E59" s="431"/>
      <c r="F59" s="431"/>
      <c r="G59" s="431"/>
      <c r="H59" s="431"/>
      <c r="I59" s="431"/>
      <c r="J59" s="432"/>
    </row>
  </sheetData>
  <mergeCells count="30">
    <mergeCell ref="A59:B59"/>
    <mergeCell ref="E59:J59"/>
    <mergeCell ref="A55:B55"/>
    <mergeCell ref="E55:J55"/>
    <mergeCell ref="A51:B51"/>
    <mergeCell ref="E51:J51"/>
    <mergeCell ref="A43:B43"/>
    <mergeCell ref="E43:J43"/>
    <mergeCell ref="A47:B47"/>
    <mergeCell ref="E47:J47"/>
    <mergeCell ref="A31:B31"/>
    <mergeCell ref="E31:J31"/>
    <mergeCell ref="A35:B35"/>
    <mergeCell ref="E35:J35"/>
    <mergeCell ref="A39:B39"/>
    <mergeCell ref="E39:J39"/>
    <mergeCell ref="A15:B15"/>
    <mergeCell ref="E15:J15"/>
    <mergeCell ref="A19:B19"/>
    <mergeCell ref="E19:J19"/>
    <mergeCell ref="A27:B27"/>
    <mergeCell ref="E27:J27"/>
    <mergeCell ref="A23:B23"/>
    <mergeCell ref="E23:J23"/>
    <mergeCell ref="A3:B3"/>
    <mergeCell ref="E3:J3"/>
    <mergeCell ref="A7:B7"/>
    <mergeCell ref="E7:J7"/>
    <mergeCell ref="A11:B11"/>
    <mergeCell ref="E11:J11"/>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ignoredErrors>
    <ignoredError sqref="A2 A6 A10 A14 A18 A26 A30"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3DF3-95DD-41F8-AEC6-790FE736A523}">
  <dimension ref="A1:Q29"/>
  <sheetViews>
    <sheetView view="pageBreakPreview" zoomScaleNormal="115" zoomScaleSheetLayoutView="100" workbookViewId="0">
      <pane ySplit="4" topLeftCell="A5" activePane="bottomLeft" state="frozen"/>
      <selection activeCell="D5" sqref="D5"/>
      <selection pane="bottomLeft" activeCell="D5" sqref="D5"/>
    </sheetView>
  </sheetViews>
  <sheetFormatPr defaultRowHeight="12.75" x14ac:dyDescent="0.2"/>
  <cols>
    <col min="1" max="1" width="4" bestFit="1" customWidth="1"/>
    <col min="2" max="2" width="5" bestFit="1" customWidth="1"/>
    <col min="3" max="3" width="24.7109375" customWidth="1"/>
    <col min="4" max="4" width="3.7109375" customWidth="1"/>
    <col min="5" max="5" width="5" bestFit="1" customWidth="1"/>
    <col min="6" max="6" width="24.7109375" customWidth="1"/>
    <col min="7" max="7" width="3.7109375" customWidth="1"/>
    <col min="8" max="8" width="5" bestFit="1" customWidth="1"/>
    <col min="9" max="9" width="24.7109375" customWidth="1"/>
    <col min="10" max="10" width="3.7109375" customWidth="1"/>
    <col min="11" max="11" width="5" bestFit="1" customWidth="1"/>
    <col min="12" max="12" width="24.7109375" customWidth="1"/>
    <col min="13" max="14" width="3.7109375" customWidth="1"/>
    <col min="15" max="15" width="24.7109375" customWidth="1"/>
    <col min="16" max="16" width="3.7109375" customWidth="1"/>
    <col min="17" max="17" width="24.7109375" customWidth="1"/>
    <col min="18" max="18" width="3.7109375" customWidth="1"/>
  </cols>
  <sheetData>
    <row r="1" spans="1:17" ht="15" x14ac:dyDescent="0.2">
      <c r="A1" s="433" t="s">
        <v>591</v>
      </c>
      <c r="B1" s="433"/>
      <c r="C1" s="433"/>
      <c r="D1" s="433"/>
      <c r="E1" s="433"/>
      <c r="F1" s="433"/>
      <c r="G1" s="433"/>
      <c r="H1" s="433"/>
      <c r="I1" s="433"/>
      <c r="J1" s="433"/>
      <c r="K1" s="433"/>
      <c r="L1" s="433"/>
      <c r="M1" s="433"/>
      <c r="N1" s="433"/>
      <c r="O1" s="433"/>
      <c r="P1" s="310"/>
      <c r="Q1" s="310"/>
    </row>
    <row r="2" spans="1:17" ht="15" x14ac:dyDescent="0.2">
      <c r="A2" s="433" t="s">
        <v>590</v>
      </c>
      <c r="B2" s="433"/>
      <c r="C2" s="433"/>
      <c r="D2" s="433"/>
      <c r="E2" s="433"/>
      <c r="F2" s="433"/>
      <c r="G2" s="433"/>
      <c r="H2" s="433"/>
      <c r="I2" s="433"/>
      <c r="J2" s="433"/>
      <c r="K2" s="433"/>
      <c r="L2" s="433"/>
      <c r="M2" s="433"/>
      <c r="N2" s="433"/>
      <c r="O2" s="433"/>
      <c r="P2" s="310"/>
      <c r="Q2" s="310"/>
    </row>
    <row r="3" spans="1:17" ht="15" x14ac:dyDescent="0.2">
      <c r="A3" s="322"/>
      <c r="B3" s="322"/>
      <c r="C3" s="322"/>
      <c r="D3" s="322"/>
      <c r="E3" s="322"/>
      <c r="F3" s="322"/>
      <c r="G3" s="322"/>
      <c r="H3" s="322"/>
      <c r="I3" s="322"/>
      <c r="J3" s="322"/>
      <c r="K3" s="322"/>
      <c r="L3" s="322"/>
      <c r="M3" s="322"/>
      <c r="N3" s="322"/>
      <c r="O3" s="322"/>
      <c r="P3" s="310"/>
      <c r="Q3" s="310"/>
    </row>
    <row r="4" spans="1:17" x14ac:dyDescent="0.2">
      <c r="A4" s="434" t="s">
        <v>223</v>
      </c>
      <c r="B4" s="434"/>
      <c r="C4" s="434"/>
      <c r="D4" s="434"/>
      <c r="E4" s="435" t="s">
        <v>226</v>
      </c>
      <c r="F4" s="435"/>
      <c r="G4" s="435"/>
      <c r="H4" s="435" t="s">
        <v>227</v>
      </c>
      <c r="I4" s="435"/>
      <c r="J4" s="435"/>
      <c r="K4" s="435" t="s">
        <v>225</v>
      </c>
      <c r="L4" s="435"/>
      <c r="M4" s="435"/>
      <c r="N4" s="435" t="s">
        <v>224</v>
      </c>
      <c r="O4" s="435"/>
      <c r="Q4" s="323"/>
    </row>
    <row r="5" spans="1:17" x14ac:dyDescent="0.2">
      <c r="A5" s="273" t="s">
        <v>544</v>
      </c>
      <c r="B5" s="279"/>
      <c r="C5" s="210" t="str">
        <f>IF(B5="","",VLOOKUP(B5,prezentace!A$2:E$200,5))</f>
        <v/>
      </c>
      <c r="D5" s="283"/>
      <c r="E5" s="297"/>
      <c r="F5" s="296"/>
      <c r="G5" s="285"/>
      <c r="H5" s="297"/>
      <c r="I5" s="296"/>
      <c r="J5" s="285"/>
      <c r="K5" s="297"/>
      <c r="L5" s="296"/>
      <c r="M5" s="291"/>
      <c r="N5" s="308"/>
      <c r="O5" s="296"/>
    </row>
    <row r="6" spans="1:17" x14ac:dyDescent="0.2">
      <c r="A6" s="277" t="s">
        <v>549</v>
      </c>
      <c r="B6" s="280"/>
      <c r="C6" s="212" t="str">
        <f>IF(B6="","",VLOOKUP(B6,prezentace!A$2:E$200,5))</f>
        <v/>
      </c>
      <c r="D6" s="284"/>
      <c r="E6" s="292" t="s">
        <v>322</v>
      </c>
      <c r="F6" s="304" t="str">
        <f>IF(COUNTBLANK(D5:D6)&gt;0,"",IF(D5&gt;D6,C5,C6))</f>
        <v/>
      </c>
      <c r="G6" s="283"/>
      <c r="H6" s="297"/>
      <c r="I6" s="296"/>
      <c r="J6" s="285"/>
      <c r="K6" s="297"/>
      <c r="L6" s="296"/>
      <c r="M6" s="291"/>
      <c r="N6" s="308"/>
      <c r="O6" s="296"/>
    </row>
    <row r="7" spans="1:17" x14ac:dyDescent="0.2">
      <c r="A7" s="213"/>
      <c r="B7" s="281"/>
      <c r="C7" s="211"/>
      <c r="D7" s="285"/>
      <c r="E7" s="297"/>
      <c r="F7" s="296"/>
      <c r="G7" s="287"/>
      <c r="H7" s="327" t="s">
        <v>323</v>
      </c>
      <c r="I7" s="304" t="str">
        <f>IF(COUNTBLANK(G6:G8)&gt;1,"",IF(G6&gt;G8,F6,F8))</f>
        <v/>
      </c>
      <c r="J7" s="283"/>
      <c r="K7" s="297"/>
      <c r="L7" s="296"/>
      <c r="M7" s="285"/>
      <c r="N7" s="297"/>
      <c r="O7" s="296"/>
    </row>
    <row r="8" spans="1:17" x14ac:dyDescent="0.2">
      <c r="A8" s="273" t="s">
        <v>573</v>
      </c>
      <c r="B8" s="279"/>
      <c r="C8" s="210" t="str">
        <f>IF(B8="","",VLOOKUP(B8,prezentace!A$2:E$200,5))</f>
        <v/>
      </c>
      <c r="D8" s="283"/>
      <c r="E8" s="329" t="s">
        <v>322</v>
      </c>
      <c r="F8" s="305" t="str">
        <f>IF(COUNTBLANK(D8:D9)&gt;0,"",IF(D8&gt;D9,C8,C9))</f>
        <v/>
      </c>
      <c r="G8" s="284"/>
      <c r="H8" s="328"/>
      <c r="I8" s="296"/>
      <c r="J8" s="287"/>
      <c r="K8" s="297"/>
      <c r="L8" s="296"/>
      <c r="M8" s="291"/>
      <c r="N8" s="308"/>
      <c r="O8" s="296"/>
    </row>
    <row r="9" spans="1:17" x14ac:dyDescent="0.2">
      <c r="A9" s="277" t="s">
        <v>578</v>
      </c>
      <c r="B9" s="280"/>
      <c r="C9" s="212" t="str">
        <f>IF(B9="","",VLOOKUP(B9,prezentace!A$2:E$200,5))</f>
        <v/>
      </c>
      <c r="D9" s="284"/>
      <c r="E9" s="297"/>
      <c r="F9" s="296"/>
      <c r="G9" s="285"/>
      <c r="H9" s="297"/>
      <c r="I9" s="296"/>
      <c r="J9" s="287"/>
      <c r="K9" s="297"/>
      <c r="L9" s="296"/>
      <c r="M9" s="291"/>
      <c r="N9" s="308"/>
      <c r="O9" s="296"/>
    </row>
    <row r="10" spans="1:17" x14ac:dyDescent="0.2">
      <c r="A10" s="213"/>
      <c r="B10" s="281"/>
      <c r="C10" s="211"/>
      <c r="D10" s="285"/>
      <c r="E10" s="297"/>
      <c r="F10" s="296"/>
      <c r="G10" s="285"/>
      <c r="H10" s="297"/>
      <c r="I10" s="296"/>
      <c r="J10" s="287"/>
      <c r="K10" s="327" t="s">
        <v>324</v>
      </c>
      <c r="L10" s="304" t="str">
        <f>IF(COUNTBLANK(J7:J13)&gt;5,"",IF(J7&gt;J13,I7,I13))</f>
        <v/>
      </c>
      <c r="M10" s="283"/>
      <c r="N10" s="297"/>
      <c r="O10" s="296"/>
    </row>
    <row r="11" spans="1:17" x14ac:dyDescent="0.2">
      <c r="A11" s="273" t="s">
        <v>560</v>
      </c>
      <c r="B11" s="279"/>
      <c r="C11" s="210" t="str">
        <f>IF(B11="","",VLOOKUP(B11,prezentace!A$2:E$200,5))</f>
        <v/>
      </c>
      <c r="D11" s="283"/>
      <c r="E11" s="297"/>
      <c r="F11" s="296"/>
      <c r="G11" s="285"/>
      <c r="H11" s="297"/>
      <c r="I11" s="296"/>
      <c r="J11" s="287"/>
      <c r="K11" s="328"/>
      <c r="L11" s="296"/>
      <c r="M11" s="289"/>
      <c r="N11" s="308"/>
      <c r="O11" s="296"/>
    </row>
    <row r="12" spans="1:17" x14ac:dyDescent="0.2">
      <c r="A12" s="277" t="s">
        <v>567</v>
      </c>
      <c r="B12" s="280"/>
      <c r="C12" s="212" t="str">
        <f>IF(B12="","",VLOOKUP(B12,prezentace!A$2:E$200,5))</f>
        <v/>
      </c>
      <c r="D12" s="284"/>
      <c r="E12" s="292" t="s">
        <v>322</v>
      </c>
      <c r="F12" s="304" t="str">
        <f>IF(COUNTBLANK(D11:D12)&gt;0,"",IF(D11&gt;D12,C11,C12))</f>
        <v/>
      </c>
      <c r="G12" s="283"/>
      <c r="H12" s="328"/>
      <c r="I12" s="296"/>
      <c r="J12" s="287"/>
      <c r="K12" s="297"/>
      <c r="L12" s="296"/>
      <c r="M12" s="289"/>
      <c r="N12" s="308"/>
      <c r="O12" s="296"/>
    </row>
    <row r="13" spans="1:17" x14ac:dyDescent="0.2">
      <c r="A13" s="213"/>
      <c r="B13" s="281"/>
      <c r="C13" s="211"/>
      <c r="D13" s="285"/>
      <c r="E13" s="297"/>
      <c r="F13" s="296"/>
      <c r="G13" s="287"/>
      <c r="H13" s="329" t="s">
        <v>323</v>
      </c>
      <c r="I13" s="305" t="str">
        <f>IF(COUNTBLANK(G12:G14)&gt;1,"",IF(G12&gt;G14,F12,F14))</f>
        <v/>
      </c>
      <c r="J13" s="284"/>
      <c r="K13" s="297"/>
      <c r="L13" s="303"/>
      <c r="M13" s="287"/>
      <c r="N13" s="297"/>
      <c r="O13" s="296"/>
    </row>
    <row r="14" spans="1:17" x14ac:dyDescent="0.2">
      <c r="A14" s="273" t="s">
        <v>553</v>
      </c>
      <c r="B14" s="279"/>
      <c r="C14" s="210" t="str">
        <f>IF(B14="","",VLOOKUP(B14,prezentace!A$2:E$200,5))</f>
        <v/>
      </c>
      <c r="D14" s="283"/>
      <c r="E14" s="329" t="s">
        <v>322</v>
      </c>
      <c r="F14" s="305" t="str">
        <f>IF(COUNTBLANK(D14:D15)&gt;0,"",IF(D14&gt;D15,C14,C15))</f>
        <v/>
      </c>
      <c r="G14" s="284"/>
      <c r="H14" s="297"/>
      <c r="I14" s="296"/>
      <c r="J14" s="285"/>
      <c r="K14" s="297"/>
      <c r="L14" s="296"/>
      <c r="M14" s="289"/>
      <c r="N14" s="308"/>
      <c r="O14" s="296"/>
    </row>
    <row r="15" spans="1:17" x14ac:dyDescent="0.2">
      <c r="A15" s="277" t="s">
        <v>556</v>
      </c>
      <c r="B15" s="280"/>
      <c r="C15" s="212" t="str">
        <f>IF(B15="","",VLOOKUP(B15,prezentace!A$2:E$200,5))</f>
        <v/>
      </c>
      <c r="D15" s="284"/>
      <c r="E15" s="297"/>
      <c r="F15" s="296"/>
      <c r="G15" s="285"/>
      <c r="H15" s="297"/>
      <c r="I15" s="296"/>
      <c r="J15" s="285"/>
      <c r="K15" s="297"/>
      <c r="L15" s="296"/>
      <c r="M15" s="290"/>
      <c r="N15" s="309"/>
      <c r="O15" s="296"/>
    </row>
    <row r="16" spans="1:17" x14ac:dyDescent="0.2">
      <c r="A16" s="215"/>
      <c r="B16" s="282"/>
      <c r="C16" s="211"/>
      <c r="D16" s="285"/>
      <c r="E16" s="297"/>
      <c r="F16" s="296"/>
      <c r="G16" s="285"/>
      <c r="H16" s="297"/>
      <c r="I16" s="296"/>
      <c r="J16" s="285"/>
      <c r="K16" s="297"/>
      <c r="L16" s="296"/>
      <c r="M16" s="290"/>
      <c r="N16" s="298" t="s">
        <v>588</v>
      </c>
      <c r="O16" s="299" t="str">
        <f>IF(COUNTBLANK(M10:M22)&gt;11,"",IF(M10&gt;M22,L10,L22))</f>
        <v/>
      </c>
    </row>
    <row r="17" spans="1:17" x14ac:dyDescent="0.2">
      <c r="A17" s="273" t="s">
        <v>552</v>
      </c>
      <c r="B17" s="279"/>
      <c r="C17" s="210" t="str">
        <f>IF(B17="","",VLOOKUP(B17,prezentace!A$2:E$200,5))</f>
        <v/>
      </c>
      <c r="D17" s="283"/>
      <c r="E17" s="297"/>
      <c r="F17" s="296"/>
      <c r="G17" s="285"/>
      <c r="H17" s="297"/>
      <c r="I17" s="296"/>
      <c r="J17" s="285"/>
      <c r="K17" s="297"/>
      <c r="L17" s="296"/>
      <c r="M17" s="289"/>
      <c r="N17" s="308"/>
      <c r="O17" s="296"/>
    </row>
    <row r="18" spans="1:17" x14ac:dyDescent="0.2">
      <c r="A18" s="277" t="s">
        <v>557</v>
      </c>
      <c r="B18" s="280"/>
      <c r="C18" s="212" t="str">
        <f>IF(B18="","",VLOOKUP(B18,prezentace!A$2:E$200,5))</f>
        <v/>
      </c>
      <c r="D18" s="284"/>
      <c r="E18" s="292" t="s">
        <v>322</v>
      </c>
      <c r="F18" s="304" t="str">
        <f>IF(COUNTBLANK(D17:D18)&gt;0,"",IF(D17&gt;D18,C17,C18))</f>
        <v/>
      </c>
      <c r="G18" s="283"/>
      <c r="H18" s="297"/>
      <c r="I18" s="296"/>
      <c r="J18" s="285"/>
      <c r="K18" s="297"/>
      <c r="L18" s="296"/>
      <c r="M18" s="289"/>
      <c r="N18" s="308"/>
      <c r="O18" s="296"/>
    </row>
    <row r="19" spans="1:17" x14ac:dyDescent="0.2">
      <c r="A19" s="213"/>
      <c r="B19" s="281"/>
      <c r="C19" s="211"/>
      <c r="D19" s="285"/>
      <c r="E19" s="297"/>
      <c r="F19" s="296"/>
      <c r="G19" s="287"/>
      <c r="H19" s="327" t="s">
        <v>323</v>
      </c>
      <c r="I19" s="304" t="str">
        <f>IF(COUNTBLANK(G18:G20)&gt;1,"",IF(G18&gt;G20,F18,F20))</f>
        <v/>
      </c>
      <c r="J19" s="283"/>
      <c r="K19" s="297"/>
      <c r="L19" s="296"/>
      <c r="M19" s="287"/>
      <c r="N19" s="297"/>
      <c r="O19" s="296"/>
    </row>
    <row r="20" spans="1:17" x14ac:dyDescent="0.2">
      <c r="A20" s="273" t="s">
        <v>561</v>
      </c>
      <c r="B20" s="279"/>
      <c r="C20" s="210" t="str">
        <f>IF(B20="","",VLOOKUP(B20,prezentace!A$2:E$200,5))</f>
        <v/>
      </c>
      <c r="D20" s="283"/>
      <c r="E20" s="329" t="s">
        <v>322</v>
      </c>
      <c r="F20" s="305" t="str">
        <f>IF(COUNTBLANK(D20:D21)&gt;0,"",IF(D20&gt;D21,C20,C21))</f>
        <v/>
      </c>
      <c r="G20" s="284"/>
      <c r="H20" s="328"/>
      <c r="I20" s="296"/>
      <c r="J20" s="287"/>
      <c r="K20" s="297"/>
      <c r="L20" s="296"/>
      <c r="M20" s="289"/>
      <c r="N20" s="308"/>
      <c r="O20" s="296"/>
    </row>
    <row r="21" spans="1:17" x14ac:dyDescent="0.2">
      <c r="A21" s="277" t="s">
        <v>566</v>
      </c>
      <c r="B21" s="280"/>
      <c r="C21" s="212" t="str">
        <f>IF(B21="","",VLOOKUP(B21,prezentace!A$2:E$200,5))</f>
        <v/>
      </c>
      <c r="D21" s="284"/>
      <c r="E21" s="297"/>
      <c r="F21" s="296"/>
      <c r="G21" s="285"/>
      <c r="H21" s="297"/>
      <c r="I21" s="296"/>
      <c r="J21" s="287"/>
      <c r="K21" s="328"/>
      <c r="L21" s="296"/>
      <c r="M21" s="289"/>
      <c r="N21" s="308"/>
      <c r="O21" s="296"/>
    </row>
    <row r="22" spans="1:17" x14ac:dyDescent="0.2">
      <c r="A22" s="215"/>
      <c r="B22" s="282"/>
      <c r="C22" s="211"/>
      <c r="D22" s="285"/>
      <c r="E22" s="297"/>
      <c r="F22" s="296"/>
      <c r="G22" s="285"/>
      <c r="H22" s="297"/>
      <c r="I22" s="296"/>
      <c r="J22" s="287"/>
      <c r="K22" s="329" t="s">
        <v>324</v>
      </c>
      <c r="L22" s="305" t="str">
        <f>IF(COUNTBLANK(J19:J25)&gt;5,"",IF(J19&gt;J25,I19,I25))</f>
        <v/>
      </c>
      <c r="M22" s="284"/>
      <c r="N22" s="297"/>
      <c r="O22" s="296"/>
    </row>
    <row r="23" spans="1:17" x14ac:dyDescent="0.2">
      <c r="A23" s="273" t="s">
        <v>572</v>
      </c>
      <c r="B23" s="279"/>
      <c r="C23" s="210" t="str">
        <f>IF(B23="","",VLOOKUP(B23,prezentace!A$2:E$200,5))</f>
        <v/>
      </c>
      <c r="D23" s="283"/>
      <c r="E23" s="297"/>
      <c r="F23" s="296"/>
      <c r="G23" s="285"/>
      <c r="H23" s="297"/>
      <c r="I23" s="296"/>
      <c r="J23" s="287"/>
      <c r="K23" s="297"/>
      <c r="L23" s="296"/>
      <c r="M23" s="291"/>
      <c r="N23" s="308"/>
      <c r="O23" s="296"/>
    </row>
    <row r="24" spans="1:17" x14ac:dyDescent="0.2">
      <c r="A24" s="277" t="s">
        <v>579</v>
      </c>
      <c r="B24" s="280"/>
      <c r="C24" s="212" t="str">
        <f>IF(B24="","",VLOOKUP(B24,prezentace!A$2:E$200,5))</f>
        <v/>
      </c>
      <c r="D24" s="284"/>
      <c r="E24" s="292" t="s">
        <v>322</v>
      </c>
      <c r="F24" s="304" t="str">
        <f>IF(COUNTBLANK(D23:D24)&gt;0,"",IF(D23&gt;D24,C23,C24))</f>
        <v/>
      </c>
      <c r="G24" s="283"/>
      <c r="H24" s="328"/>
      <c r="I24" s="296"/>
      <c r="J24" s="287"/>
      <c r="K24" s="297"/>
      <c r="L24" s="296"/>
      <c r="M24" s="291"/>
      <c r="N24" s="308"/>
      <c r="O24" s="296"/>
      <c r="P24" s="274"/>
      <c r="Q24" s="275"/>
    </row>
    <row r="25" spans="1:17" x14ac:dyDescent="0.2">
      <c r="A25" s="213"/>
      <c r="B25" s="281"/>
      <c r="C25" s="211"/>
      <c r="D25" s="285"/>
      <c r="E25" s="297"/>
      <c r="F25" s="296"/>
      <c r="G25" s="287"/>
      <c r="H25" s="329" t="s">
        <v>323</v>
      </c>
      <c r="I25" s="305" t="str">
        <f>IF(COUNTBLANK(G24:G26)&gt;1,"",IF(G24&gt;G26,F24,F26))</f>
        <v/>
      </c>
      <c r="J25" s="284"/>
      <c r="K25" s="297"/>
      <c r="L25" s="303"/>
      <c r="M25" s="291"/>
      <c r="N25" s="308"/>
      <c r="O25" s="296"/>
      <c r="P25" s="274"/>
    </row>
    <row r="26" spans="1:17" x14ac:dyDescent="0.2">
      <c r="A26" s="273" t="s">
        <v>545</v>
      </c>
      <c r="B26" s="279"/>
      <c r="C26" s="210" t="str">
        <f>IF(B26="","",VLOOKUP(B26,prezentace!A$2:E$200,5))</f>
        <v/>
      </c>
      <c r="D26" s="283"/>
      <c r="E26" s="329" t="s">
        <v>322</v>
      </c>
      <c r="F26" s="305" t="str">
        <f>IF(COUNTBLANK(D26:D27)&gt;0,"",IF(D26&gt;D27,C26,C27))</f>
        <v/>
      </c>
      <c r="G26" s="284"/>
      <c r="H26" s="297"/>
      <c r="I26" s="296"/>
      <c r="J26" s="285"/>
      <c r="K26" s="297"/>
      <c r="L26" s="296"/>
      <c r="M26" s="291"/>
      <c r="N26" s="308"/>
      <c r="O26" s="296"/>
      <c r="P26" s="274"/>
    </row>
    <row r="27" spans="1:17" x14ac:dyDescent="0.2">
      <c r="A27" s="277" t="s">
        <v>548</v>
      </c>
      <c r="B27" s="280"/>
      <c r="C27" s="212" t="str">
        <f>IF(B27="","",VLOOKUP(B27,prezentace!A$2:E$200,5))</f>
        <v/>
      </c>
      <c r="D27" s="284"/>
      <c r="E27" s="297"/>
      <c r="F27" s="296"/>
      <c r="G27" s="285"/>
      <c r="H27" s="297"/>
      <c r="I27" s="296"/>
      <c r="J27" s="285"/>
      <c r="K27" s="297"/>
      <c r="L27" s="296"/>
      <c r="M27" s="285"/>
      <c r="N27" s="297"/>
      <c r="O27" s="296"/>
      <c r="P27" s="274"/>
    </row>
    <row r="28" spans="1:17" x14ac:dyDescent="0.2">
      <c r="I28" s="296"/>
      <c r="J28" s="285"/>
      <c r="K28" s="297"/>
      <c r="L28" s="296"/>
      <c r="M28" s="291"/>
      <c r="N28" s="308"/>
      <c r="O28" s="296"/>
      <c r="P28" s="274"/>
    </row>
    <row r="29" spans="1:17" x14ac:dyDescent="0.2">
      <c r="I29" s="296"/>
      <c r="J29" s="285"/>
      <c r="K29" s="297"/>
      <c r="L29" s="296"/>
    </row>
  </sheetData>
  <mergeCells count="7">
    <mergeCell ref="A1:O1"/>
    <mergeCell ref="A4:D4"/>
    <mergeCell ref="E4:G4"/>
    <mergeCell ref="H4:J4"/>
    <mergeCell ref="K4:M4"/>
    <mergeCell ref="N4:O4"/>
    <mergeCell ref="A2:O2"/>
  </mergeCells>
  <pageMargins left="0.78740157480314965" right="0.39370078740157483" top="0.39370078740157483" bottom="0" header="0.31496062992125984" footer="0.31496062992125984"/>
  <pageSetup paperSize="9" scale="8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34B9-9BA6-42AA-B299-0DD272FFA9EF}">
  <dimension ref="A1:S59"/>
  <sheetViews>
    <sheetView showGridLines="0" view="pageBreakPreview" zoomScaleNormal="100" zoomScaleSheetLayoutView="100" workbookViewId="0">
      <selection activeCell="D5" sqref="D5"/>
    </sheetView>
  </sheetViews>
  <sheetFormatPr defaultRowHeight="12.75" x14ac:dyDescent="0.2"/>
  <cols>
    <col min="1" max="1" width="6.85546875" style="102" customWidth="1"/>
    <col min="2" max="2" width="5.5703125" style="102" bestFit="1" customWidth="1"/>
    <col min="3" max="4" width="23.85546875" style="89" customWidth="1"/>
    <col min="5" max="9" width="6.5703125" style="90" customWidth="1"/>
    <col min="10" max="10" width="9.42578125" style="88" customWidth="1"/>
    <col min="11" max="11" width="5.42578125" style="106" bestFit="1" customWidth="1"/>
    <col min="12" max="12" width="21.140625" style="106" customWidth="1"/>
    <col min="13" max="13" width="15" style="106" customWidth="1"/>
    <col min="14" max="14" width="15" style="90" customWidth="1"/>
    <col min="15" max="15" width="27.140625" style="90" bestFit="1" customWidth="1"/>
    <col min="16" max="18" width="5.7109375" style="90" bestFit="1" customWidth="1"/>
    <col min="19" max="19" width="8.140625" style="88" bestFit="1" customWidth="1"/>
    <col min="20" max="16384" width="9.140625" style="90"/>
  </cols>
  <sheetData>
    <row r="1" spans="1:14" ht="14.45" customHeight="1" x14ac:dyDescent="0.2">
      <c r="A1" s="103" t="s">
        <v>57</v>
      </c>
      <c r="B1" s="100" t="s">
        <v>60</v>
      </c>
      <c r="C1" s="94" t="s">
        <v>96</v>
      </c>
      <c r="D1" s="94" t="s">
        <v>97</v>
      </c>
      <c r="E1" s="93" t="s">
        <v>162</v>
      </c>
      <c r="F1" s="93" t="s">
        <v>163</v>
      </c>
      <c r="G1" s="93" t="s">
        <v>164</v>
      </c>
      <c r="H1" s="93" t="s">
        <v>221</v>
      </c>
      <c r="I1" s="93" t="s">
        <v>220</v>
      </c>
      <c r="J1" s="226" t="s">
        <v>161</v>
      </c>
    </row>
    <row r="2" spans="1:14" ht="23.25" x14ac:dyDescent="0.2">
      <c r="A2" s="317" t="s">
        <v>313</v>
      </c>
      <c r="B2" s="101"/>
      <c r="C2" s="99"/>
      <c r="D2" s="99"/>
      <c r="E2" s="225"/>
      <c r="F2" s="96"/>
      <c r="G2" s="96"/>
      <c r="H2" s="96"/>
      <c r="I2" s="96"/>
      <c r="J2" s="113"/>
    </row>
    <row r="3" spans="1:14" ht="24" thickBot="1" x14ac:dyDescent="0.25">
      <c r="A3" s="429" t="s">
        <v>165</v>
      </c>
      <c r="B3" s="430"/>
      <c r="C3" s="98"/>
      <c r="D3" s="92" t="s">
        <v>166</v>
      </c>
      <c r="E3" s="431"/>
      <c r="F3" s="431"/>
      <c r="G3" s="431"/>
      <c r="H3" s="431"/>
      <c r="I3" s="431"/>
      <c r="J3" s="432"/>
    </row>
    <row r="4" spans="1:14" ht="13.5" thickBot="1" x14ac:dyDescent="0.25"/>
    <row r="5" spans="1:14" ht="14.45" customHeight="1" x14ac:dyDescent="0.2">
      <c r="A5" s="103" t="s">
        <v>57</v>
      </c>
      <c r="B5" s="100" t="s">
        <v>60</v>
      </c>
      <c r="C5" s="94" t="s">
        <v>96</v>
      </c>
      <c r="D5" s="94" t="s">
        <v>97</v>
      </c>
      <c r="E5" s="93" t="s">
        <v>162</v>
      </c>
      <c r="F5" s="93" t="s">
        <v>163</v>
      </c>
      <c r="G5" s="93" t="s">
        <v>164</v>
      </c>
      <c r="H5" s="93" t="s">
        <v>221</v>
      </c>
      <c r="I5" s="93" t="s">
        <v>220</v>
      </c>
      <c r="J5" s="226" t="s">
        <v>161</v>
      </c>
    </row>
    <row r="6" spans="1:14" ht="23.25" x14ac:dyDescent="0.2">
      <c r="A6" s="317" t="s">
        <v>313</v>
      </c>
      <c r="B6" s="101"/>
      <c r="C6" s="99"/>
      <c r="D6" s="99"/>
      <c r="E6" s="96"/>
      <c r="F6" s="96"/>
      <c r="G6" s="96"/>
      <c r="H6" s="96"/>
      <c r="I6" s="96"/>
      <c r="J6" s="113"/>
      <c r="N6" s="227"/>
    </row>
    <row r="7" spans="1:14" ht="24" thickBot="1" x14ac:dyDescent="0.25">
      <c r="A7" s="429" t="s">
        <v>165</v>
      </c>
      <c r="B7" s="430"/>
      <c r="C7" s="98"/>
      <c r="D7" s="92" t="s">
        <v>166</v>
      </c>
      <c r="E7" s="431"/>
      <c r="F7" s="431"/>
      <c r="G7" s="431"/>
      <c r="H7" s="431"/>
      <c r="I7" s="431"/>
      <c r="J7" s="432"/>
    </row>
    <row r="8" spans="1:14" ht="12" customHeight="1" thickBot="1" x14ac:dyDescent="0.25">
      <c r="A8" s="105"/>
    </row>
    <row r="9" spans="1:14" ht="14.45" customHeight="1" x14ac:dyDescent="0.2">
      <c r="A9" s="103" t="s">
        <v>57</v>
      </c>
      <c r="B9" s="100" t="s">
        <v>60</v>
      </c>
      <c r="C9" s="94" t="s">
        <v>96</v>
      </c>
      <c r="D9" s="94" t="s">
        <v>97</v>
      </c>
      <c r="E9" s="93" t="s">
        <v>162</v>
      </c>
      <c r="F9" s="93" t="s">
        <v>163</v>
      </c>
      <c r="G9" s="93" t="s">
        <v>164</v>
      </c>
      <c r="H9" s="93" t="s">
        <v>221</v>
      </c>
      <c r="I9" s="93" t="s">
        <v>220</v>
      </c>
      <c r="J9" s="226" t="s">
        <v>161</v>
      </c>
    </row>
    <row r="10" spans="1:14" ht="23.25" x14ac:dyDescent="0.2">
      <c r="A10" s="317" t="s">
        <v>313</v>
      </c>
      <c r="B10" s="101"/>
      <c r="C10" s="99"/>
      <c r="D10" s="99"/>
      <c r="E10" s="96"/>
      <c r="F10" s="96"/>
      <c r="G10" s="96"/>
      <c r="H10" s="96"/>
      <c r="I10" s="96"/>
      <c r="J10" s="113"/>
    </row>
    <row r="11" spans="1:14" ht="24" thickBot="1" x14ac:dyDescent="0.25">
      <c r="A11" s="429" t="s">
        <v>165</v>
      </c>
      <c r="B11" s="430"/>
      <c r="C11" s="98"/>
      <c r="D11" s="92" t="s">
        <v>166</v>
      </c>
      <c r="E11" s="431"/>
      <c r="F11" s="431"/>
      <c r="G11" s="431"/>
      <c r="H11" s="431"/>
      <c r="I11" s="431"/>
      <c r="J11" s="432"/>
    </row>
    <row r="12" spans="1:14" ht="12" customHeight="1" thickBot="1" x14ac:dyDescent="0.25"/>
    <row r="13" spans="1:14" ht="14.45" customHeight="1" x14ac:dyDescent="0.2">
      <c r="A13" s="103" t="s">
        <v>57</v>
      </c>
      <c r="B13" s="100" t="s">
        <v>60</v>
      </c>
      <c r="C13" s="94" t="s">
        <v>96</v>
      </c>
      <c r="D13" s="94" t="s">
        <v>97</v>
      </c>
      <c r="E13" s="93" t="s">
        <v>162</v>
      </c>
      <c r="F13" s="93" t="s">
        <v>163</v>
      </c>
      <c r="G13" s="93" t="s">
        <v>164</v>
      </c>
      <c r="H13" s="93" t="s">
        <v>221</v>
      </c>
      <c r="I13" s="93" t="s">
        <v>220</v>
      </c>
      <c r="J13" s="226" t="s">
        <v>161</v>
      </c>
    </row>
    <row r="14" spans="1:14" ht="23.25" x14ac:dyDescent="0.2">
      <c r="A14" s="317" t="s">
        <v>313</v>
      </c>
      <c r="B14" s="101"/>
      <c r="C14" s="99"/>
      <c r="D14" s="99"/>
      <c r="E14" s="96"/>
      <c r="F14" s="96"/>
      <c r="G14" s="96"/>
      <c r="H14" s="96"/>
      <c r="I14" s="96"/>
      <c r="J14" s="113"/>
    </row>
    <row r="15" spans="1:14" ht="24" thickBot="1" x14ac:dyDescent="0.25">
      <c r="A15" s="429" t="s">
        <v>165</v>
      </c>
      <c r="B15" s="430"/>
      <c r="C15" s="98"/>
      <c r="D15" s="92" t="s">
        <v>166</v>
      </c>
      <c r="E15" s="431"/>
      <c r="F15" s="431"/>
      <c r="G15" s="431"/>
      <c r="H15" s="431"/>
      <c r="I15" s="431"/>
      <c r="J15" s="432"/>
    </row>
    <row r="16" spans="1:14" ht="12" customHeight="1" thickBot="1" x14ac:dyDescent="0.25">
      <c r="A16" s="105"/>
    </row>
    <row r="17" spans="1:10" ht="14.45" customHeight="1" x14ac:dyDescent="0.2">
      <c r="A17" s="103" t="s">
        <v>57</v>
      </c>
      <c r="B17" s="100" t="s">
        <v>60</v>
      </c>
      <c r="C17" s="94" t="s">
        <v>96</v>
      </c>
      <c r="D17" s="94" t="s">
        <v>97</v>
      </c>
      <c r="E17" s="93" t="s">
        <v>162</v>
      </c>
      <c r="F17" s="93" t="s">
        <v>163</v>
      </c>
      <c r="G17" s="93" t="s">
        <v>164</v>
      </c>
      <c r="H17" s="93" t="s">
        <v>221</v>
      </c>
      <c r="I17" s="93" t="s">
        <v>220</v>
      </c>
      <c r="J17" s="226" t="s">
        <v>161</v>
      </c>
    </row>
    <row r="18" spans="1:10" ht="23.25" x14ac:dyDescent="0.2">
      <c r="A18" s="317" t="s">
        <v>313</v>
      </c>
      <c r="B18" s="101"/>
      <c r="C18" s="99"/>
      <c r="D18" s="99"/>
      <c r="E18" s="96"/>
      <c r="F18" s="96"/>
      <c r="G18" s="96"/>
      <c r="H18" s="96"/>
      <c r="I18" s="96"/>
      <c r="J18" s="113"/>
    </row>
    <row r="19" spans="1:10" ht="24" thickBot="1" x14ac:dyDescent="0.25">
      <c r="A19" s="429" t="s">
        <v>165</v>
      </c>
      <c r="B19" s="430"/>
      <c r="C19" s="98"/>
      <c r="D19" s="92" t="s">
        <v>166</v>
      </c>
      <c r="E19" s="431"/>
      <c r="F19" s="431"/>
      <c r="G19" s="431"/>
      <c r="H19" s="431"/>
      <c r="I19" s="431"/>
      <c r="J19" s="432"/>
    </row>
    <row r="20" spans="1:10" ht="13.5" thickBot="1" x14ac:dyDescent="0.25"/>
    <row r="21" spans="1:10" ht="14.45" customHeight="1" x14ac:dyDescent="0.2">
      <c r="A21" s="103" t="s">
        <v>57</v>
      </c>
      <c r="B21" s="100" t="s">
        <v>60</v>
      </c>
      <c r="C21" s="94" t="s">
        <v>96</v>
      </c>
      <c r="D21" s="94" t="s">
        <v>97</v>
      </c>
      <c r="E21" s="93" t="s">
        <v>162</v>
      </c>
      <c r="F21" s="93" t="s">
        <v>163</v>
      </c>
      <c r="G21" s="93" t="s">
        <v>164</v>
      </c>
      <c r="H21" s="93" t="s">
        <v>221</v>
      </c>
      <c r="I21" s="93" t="s">
        <v>220</v>
      </c>
      <c r="J21" s="226" t="s">
        <v>161</v>
      </c>
    </row>
    <row r="22" spans="1:10" ht="23.25" x14ac:dyDescent="0.2">
      <c r="A22" s="317" t="s">
        <v>313</v>
      </c>
      <c r="B22" s="101"/>
      <c r="C22" s="99"/>
      <c r="D22" s="99"/>
      <c r="E22" s="96"/>
      <c r="F22" s="96"/>
      <c r="G22" s="96"/>
      <c r="H22" s="96"/>
      <c r="I22" s="96"/>
      <c r="J22" s="113"/>
    </row>
    <row r="23" spans="1:10" ht="24" thickBot="1" x14ac:dyDescent="0.25">
      <c r="A23" s="429" t="s">
        <v>165</v>
      </c>
      <c r="B23" s="430"/>
      <c r="C23" s="98"/>
      <c r="D23" s="92" t="s">
        <v>166</v>
      </c>
      <c r="E23" s="431"/>
      <c r="F23" s="431"/>
      <c r="G23" s="431"/>
      <c r="H23" s="431"/>
      <c r="I23" s="431"/>
      <c r="J23" s="432"/>
    </row>
    <row r="24" spans="1:10" ht="12" customHeight="1" thickBot="1" x14ac:dyDescent="0.25">
      <c r="A24" s="105"/>
    </row>
    <row r="25" spans="1:10" x14ac:dyDescent="0.2">
      <c r="A25" s="103" t="s">
        <v>57</v>
      </c>
      <c r="B25" s="100" t="s">
        <v>60</v>
      </c>
      <c r="C25" s="94" t="s">
        <v>96</v>
      </c>
      <c r="D25" s="94" t="s">
        <v>97</v>
      </c>
      <c r="E25" s="93" t="s">
        <v>162</v>
      </c>
      <c r="F25" s="93" t="s">
        <v>163</v>
      </c>
      <c r="G25" s="93" t="s">
        <v>164</v>
      </c>
      <c r="H25" s="93" t="s">
        <v>221</v>
      </c>
      <c r="I25" s="93" t="s">
        <v>220</v>
      </c>
      <c r="J25" s="226" t="s">
        <v>161</v>
      </c>
    </row>
    <row r="26" spans="1:10" ht="23.25" x14ac:dyDescent="0.2">
      <c r="A26" s="317" t="s">
        <v>313</v>
      </c>
      <c r="B26" s="101"/>
      <c r="C26" s="99"/>
      <c r="D26" s="99"/>
      <c r="E26" s="225"/>
      <c r="F26" s="96"/>
      <c r="G26" s="96"/>
      <c r="H26" s="96"/>
      <c r="I26" s="96"/>
      <c r="J26" s="113"/>
    </row>
    <row r="27" spans="1:10" ht="24" thickBot="1" x14ac:dyDescent="0.25">
      <c r="A27" s="429" t="s">
        <v>165</v>
      </c>
      <c r="B27" s="430"/>
      <c r="C27" s="98"/>
      <c r="D27" s="92" t="s">
        <v>166</v>
      </c>
      <c r="E27" s="431"/>
      <c r="F27" s="431"/>
      <c r="G27" s="431"/>
      <c r="H27" s="431"/>
      <c r="I27" s="431"/>
      <c r="J27" s="432"/>
    </row>
    <row r="28" spans="1:10" ht="13.5" thickBot="1" x14ac:dyDescent="0.25">
      <c r="A28" s="105"/>
    </row>
    <row r="29" spans="1:10" x14ac:dyDescent="0.2">
      <c r="A29" s="103" t="s">
        <v>57</v>
      </c>
      <c r="B29" s="100" t="s">
        <v>60</v>
      </c>
      <c r="C29" s="94" t="s">
        <v>96</v>
      </c>
      <c r="D29" s="94" t="s">
        <v>97</v>
      </c>
      <c r="E29" s="93" t="s">
        <v>162</v>
      </c>
      <c r="F29" s="93" t="s">
        <v>163</v>
      </c>
      <c r="G29" s="93" t="s">
        <v>164</v>
      </c>
      <c r="H29" s="93" t="s">
        <v>221</v>
      </c>
      <c r="I29" s="93" t="s">
        <v>220</v>
      </c>
      <c r="J29" s="226" t="s">
        <v>161</v>
      </c>
    </row>
    <row r="30" spans="1:10" ht="23.25" x14ac:dyDescent="0.2">
      <c r="A30" s="317" t="s">
        <v>313</v>
      </c>
      <c r="B30" s="101"/>
      <c r="C30" s="99"/>
      <c r="D30" s="99"/>
      <c r="E30" s="225"/>
      <c r="F30" s="96"/>
      <c r="G30" s="96"/>
      <c r="H30" s="96"/>
      <c r="I30" s="96"/>
      <c r="J30" s="113"/>
    </row>
    <row r="31" spans="1:10" ht="24" thickBot="1" x14ac:dyDescent="0.25">
      <c r="A31" s="429" t="s">
        <v>165</v>
      </c>
      <c r="B31" s="430"/>
      <c r="C31" s="98"/>
      <c r="D31" s="92" t="s">
        <v>166</v>
      </c>
      <c r="E31" s="431"/>
      <c r="F31" s="431"/>
      <c r="G31" s="431"/>
      <c r="H31" s="431"/>
      <c r="I31" s="431"/>
      <c r="J31" s="432"/>
    </row>
    <row r="32" spans="1:10" ht="13.5" thickBot="1" x14ac:dyDescent="0.25">
      <c r="A32" s="105"/>
    </row>
    <row r="33" spans="1:10" x14ac:dyDescent="0.2">
      <c r="A33" s="103" t="s">
        <v>57</v>
      </c>
      <c r="B33" s="100" t="s">
        <v>60</v>
      </c>
      <c r="C33" s="94" t="s">
        <v>96</v>
      </c>
      <c r="D33" s="94" t="s">
        <v>97</v>
      </c>
      <c r="E33" s="93" t="s">
        <v>162</v>
      </c>
      <c r="F33" s="93" t="s">
        <v>163</v>
      </c>
      <c r="G33" s="93" t="s">
        <v>164</v>
      </c>
      <c r="H33" s="93" t="s">
        <v>221</v>
      </c>
      <c r="I33" s="93" t="s">
        <v>220</v>
      </c>
      <c r="J33" s="226" t="s">
        <v>161</v>
      </c>
    </row>
    <row r="34" spans="1:10" ht="23.25" x14ac:dyDescent="0.2">
      <c r="A34" s="317" t="str">
        <f>'B-16D-pavouk'!E6</f>
        <v>17-24</v>
      </c>
      <c r="B34" s="101"/>
      <c r="C34" s="99"/>
      <c r="D34" s="99"/>
      <c r="E34" s="96"/>
      <c r="F34" s="96"/>
      <c r="G34" s="96"/>
      <c r="H34" s="96"/>
      <c r="I34" s="96"/>
      <c r="J34" s="113"/>
    </row>
    <row r="35" spans="1:10" ht="24" thickBot="1" x14ac:dyDescent="0.25">
      <c r="A35" s="429" t="s">
        <v>165</v>
      </c>
      <c r="B35" s="430"/>
      <c r="C35" s="98"/>
      <c r="D35" s="92" t="s">
        <v>166</v>
      </c>
      <c r="E35" s="431"/>
      <c r="F35" s="431"/>
      <c r="G35" s="431"/>
      <c r="H35" s="431"/>
      <c r="I35" s="431"/>
      <c r="J35" s="432"/>
    </row>
    <row r="36" spans="1:10" ht="13.5" thickBot="1" x14ac:dyDescent="0.25">
      <c r="A36" s="105"/>
    </row>
    <row r="37" spans="1:10" x14ac:dyDescent="0.2">
      <c r="A37" s="103" t="s">
        <v>57</v>
      </c>
      <c r="B37" s="100" t="s">
        <v>60</v>
      </c>
      <c r="C37" s="94" t="s">
        <v>96</v>
      </c>
      <c r="D37" s="94" t="s">
        <v>97</v>
      </c>
      <c r="E37" s="93" t="s">
        <v>162</v>
      </c>
      <c r="F37" s="93" t="s">
        <v>163</v>
      </c>
      <c r="G37" s="93" t="s">
        <v>164</v>
      </c>
      <c r="H37" s="93" t="s">
        <v>221</v>
      </c>
      <c r="I37" s="93" t="s">
        <v>220</v>
      </c>
      <c r="J37" s="226" t="s">
        <v>161</v>
      </c>
    </row>
    <row r="38" spans="1:10" ht="23.25" x14ac:dyDescent="0.2">
      <c r="A38" s="317" t="str">
        <f>'B-16D-pavouk'!E12</f>
        <v>17-24</v>
      </c>
      <c r="B38" s="101"/>
      <c r="C38" s="99"/>
      <c r="D38" s="99"/>
      <c r="E38" s="96"/>
      <c r="F38" s="96"/>
      <c r="G38" s="96"/>
      <c r="H38" s="96"/>
      <c r="I38" s="96"/>
      <c r="J38" s="113"/>
    </row>
    <row r="39" spans="1:10" ht="24" thickBot="1" x14ac:dyDescent="0.25">
      <c r="A39" s="429" t="s">
        <v>165</v>
      </c>
      <c r="B39" s="430"/>
      <c r="C39" s="98"/>
      <c r="D39" s="92" t="s">
        <v>166</v>
      </c>
      <c r="E39" s="431"/>
      <c r="F39" s="431"/>
      <c r="G39" s="431"/>
      <c r="H39" s="431"/>
      <c r="I39" s="431"/>
      <c r="J39" s="432"/>
    </row>
    <row r="40" spans="1:10" ht="13.5" thickBot="1" x14ac:dyDescent="0.25">
      <c r="A40" s="105"/>
    </row>
    <row r="41" spans="1:10" x14ac:dyDescent="0.2">
      <c r="A41" s="103" t="s">
        <v>57</v>
      </c>
      <c r="B41" s="100" t="s">
        <v>60</v>
      </c>
      <c r="C41" s="94" t="s">
        <v>96</v>
      </c>
      <c r="D41" s="94" t="s">
        <v>97</v>
      </c>
      <c r="E41" s="93" t="s">
        <v>162</v>
      </c>
      <c r="F41" s="93" t="s">
        <v>163</v>
      </c>
      <c r="G41" s="93" t="s">
        <v>164</v>
      </c>
      <c r="H41" s="93" t="s">
        <v>221</v>
      </c>
      <c r="I41" s="93" t="s">
        <v>220</v>
      </c>
      <c r="J41" s="226" t="s">
        <v>161</v>
      </c>
    </row>
    <row r="42" spans="1:10" ht="23.25" x14ac:dyDescent="0.2">
      <c r="A42" s="317" t="str">
        <f>'B-16D-pavouk'!E18</f>
        <v>17-24</v>
      </c>
      <c r="B42" s="101"/>
      <c r="C42" s="99"/>
      <c r="D42" s="99"/>
      <c r="E42" s="96"/>
      <c r="F42" s="96"/>
      <c r="G42" s="96"/>
      <c r="H42" s="96"/>
      <c r="I42" s="96"/>
      <c r="J42" s="113"/>
    </row>
    <row r="43" spans="1:10" ht="24" thickBot="1" x14ac:dyDescent="0.25">
      <c r="A43" s="429" t="s">
        <v>165</v>
      </c>
      <c r="B43" s="430"/>
      <c r="C43" s="98"/>
      <c r="D43" s="92" t="s">
        <v>166</v>
      </c>
      <c r="E43" s="431"/>
      <c r="F43" s="431"/>
      <c r="G43" s="431"/>
      <c r="H43" s="431"/>
      <c r="I43" s="431"/>
      <c r="J43" s="432"/>
    </row>
    <row r="44" spans="1:10" ht="13.5" thickBot="1" x14ac:dyDescent="0.25">
      <c r="A44" s="105"/>
    </row>
    <row r="45" spans="1:10" x14ac:dyDescent="0.2">
      <c r="A45" s="103" t="s">
        <v>57</v>
      </c>
      <c r="B45" s="100" t="s">
        <v>60</v>
      </c>
      <c r="C45" s="94" t="s">
        <v>96</v>
      </c>
      <c r="D45" s="94" t="s">
        <v>97</v>
      </c>
      <c r="E45" s="93" t="s">
        <v>162</v>
      </c>
      <c r="F45" s="93" t="s">
        <v>163</v>
      </c>
      <c r="G45" s="93" t="s">
        <v>164</v>
      </c>
      <c r="H45" s="93" t="s">
        <v>221</v>
      </c>
      <c r="I45" s="93" t="s">
        <v>220</v>
      </c>
      <c r="J45" s="226" t="s">
        <v>161</v>
      </c>
    </row>
    <row r="46" spans="1:10" ht="23.25" x14ac:dyDescent="0.2">
      <c r="A46" s="317" t="str">
        <f>'B-16D-pavouk'!E24</f>
        <v>17-24</v>
      </c>
      <c r="B46" s="101"/>
      <c r="C46" s="99"/>
      <c r="D46" s="99"/>
      <c r="E46" s="96"/>
      <c r="F46" s="96"/>
      <c r="G46" s="96"/>
      <c r="H46" s="96"/>
      <c r="I46" s="96"/>
      <c r="J46" s="113"/>
    </row>
    <row r="47" spans="1:10" ht="24" thickBot="1" x14ac:dyDescent="0.25">
      <c r="A47" s="429" t="s">
        <v>165</v>
      </c>
      <c r="B47" s="430"/>
      <c r="C47" s="98"/>
      <c r="D47" s="92" t="s">
        <v>166</v>
      </c>
      <c r="E47" s="431"/>
      <c r="F47" s="431"/>
      <c r="G47" s="431"/>
      <c r="H47" s="431"/>
      <c r="I47" s="431"/>
      <c r="J47" s="432"/>
    </row>
    <row r="48" spans="1:10" ht="13.5" thickBot="1" x14ac:dyDescent="0.25"/>
    <row r="49" spans="1:10" x14ac:dyDescent="0.2">
      <c r="A49" s="103" t="s">
        <v>57</v>
      </c>
      <c r="B49" s="100" t="s">
        <v>60</v>
      </c>
      <c r="C49" s="94" t="s">
        <v>96</v>
      </c>
      <c r="D49" s="94" t="s">
        <v>97</v>
      </c>
      <c r="E49" s="93" t="s">
        <v>162</v>
      </c>
      <c r="F49" s="93" t="s">
        <v>163</v>
      </c>
      <c r="G49" s="93" t="s">
        <v>164</v>
      </c>
      <c r="H49" s="93" t="s">
        <v>221</v>
      </c>
      <c r="I49" s="93" t="s">
        <v>220</v>
      </c>
      <c r="J49" s="226" t="s">
        <v>161</v>
      </c>
    </row>
    <row r="50" spans="1:10" ht="23.25" x14ac:dyDescent="0.2">
      <c r="A50" s="317" t="str">
        <f>'B-16D-pavouk'!H7</f>
        <v>17-20</v>
      </c>
      <c r="B50" s="101"/>
      <c r="C50" s="99"/>
      <c r="D50" s="99"/>
      <c r="E50" s="96"/>
      <c r="F50" s="96"/>
      <c r="G50" s="96"/>
      <c r="H50" s="96"/>
      <c r="I50" s="96"/>
      <c r="J50" s="113"/>
    </row>
    <row r="51" spans="1:10" ht="24" thickBot="1" x14ac:dyDescent="0.25">
      <c r="A51" s="429" t="s">
        <v>165</v>
      </c>
      <c r="B51" s="430"/>
      <c r="C51" s="98"/>
      <c r="D51" s="92" t="s">
        <v>166</v>
      </c>
      <c r="E51" s="431"/>
      <c r="F51" s="431"/>
      <c r="G51" s="431"/>
      <c r="H51" s="431"/>
      <c r="I51" s="431"/>
      <c r="J51" s="432"/>
    </row>
    <row r="52" spans="1:10" ht="13.5" thickBot="1" x14ac:dyDescent="0.25">
      <c r="A52" s="105"/>
    </row>
    <row r="53" spans="1:10" x14ac:dyDescent="0.2">
      <c r="A53" s="103" t="s">
        <v>57</v>
      </c>
      <c r="B53" s="100" t="s">
        <v>60</v>
      </c>
      <c r="C53" s="94" t="s">
        <v>96</v>
      </c>
      <c r="D53" s="94" t="s">
        <v>97</v>
      </c>
      <c r="E53" s="93" t="s">
        <v>162</v>
      </c>
      <c r="F53" s="93" t="s">
        <v>163</v>
      </c>
      <c r="G53" s="93" t="s">
        <v>164</v>
      </c>
      <c r="H53" s="93" t="s">
        <v>221</v>
      </c>
      <c r="I53" s="93" t="s">
        <v>220</v>
      </c>
      <c r="J53" s="226" t="s">
        <v>161</v>
      </c>
    </row>
    <row r="54" spans="1:10" ht="23.25" x14ac:dyDescent="0.2">
      <c r="A54" s="317" t="str">
        <f>'B-16D-pavouk'!H19</f>
        <v>17-20</v>
      </c>
      <c r="B54" s="101"/>
      <c r="C54" s="99"/>
      <c r="D54" s="99"/>
      <c r="E54" s="225"/>
      <c r="F54" s="96"/>
      <c r="G54" s="96"/>
      <c r="H54" s="96"/>
      <c r="I54" s="96"/>
      <c r="J54" s="113"/>
    </row>
    <row r="55" spans="1:10" ht="24" thickBot="1" x14ac:dyDescent="0.25">
      <c r="A55" s="429" t="s">
        <v>165</v>
      </c>
      <c r="B55" s="430"/>
      <c r="C55" s="98"/>
      <c r="D55" s="92" t="s">
        <v>166</v>
      </c>
      <c r="E55" s="431"/>
      <c r="F55" s="431"/>
      <c r="G55" s="431"/>
      <c r="H55" s="431"/>
      <c r="I55" s="431"/>
      <c r="J55" s="432"/>
    </row>
    <row r="56" spans="1:10" ht="12" customHeight="1" thickBot="1" x14ac:dyDescent="0.25">
      <c r="A56" s="105"/>
    </row>
    <row r="57" spans="1:10" x14ac:dyDescent="0.2">
      <c r="A57" s="103" t="s">
        <v>57</v>
      </c>
      <c r="B57" s="100" t="s">
        <v>60</v>
      </c>
      <c r="C57" s="94" t="s">
        <v>96</v>
      </c>
      <c r="D57" s="94" t="s">
        <v>97</v>
      </c>
      <c r="E57" s="93" t="s">
        <v>162</v>
      </c>
      <c r="F57" s="93" t="s">
        <v>163</v>
      </c>
      <c r="G57" s="93" t="s">
        <v>164</v>
      </c>
      <c r="H57" s="93" t="s">
        <v>221</v>
      </c>
      <c r="I57" s="93" t="s">
        <v>220</v>
      </c>
      <c r="J57" s="226" t="s">
        <v>161</v>
      </c>
    </row>
    <row r="58" spans="1:10" ht="23.25" x14ac:dyDescent="0.2">
      <c r="A58" s="317" t="str">
        <f>'B-16D-pavouk'!K10</f>
        <v>17-18</v>
      </c>
      <c r="B58" s="101"/>
      <c r="C58" s="99"/>
      <c r="D58" s="99"/>
      <c r="E58" s="225"/>
      <c r="F58" s="96"/>
      <c r="G58" s="96"/>
      <c r="H58" s="96"/>
      <c r="I58" s="96"/>
      <c r="J58" s="113"/>
    </row>
    <row r="59" spans="1:10" ht="24" thickBot="1" x14ac:dyDescent="0.25">
      <c r="A59" s="429" t="s">
        <v>165</v>
      </c>
      <c r="B59" s="430"/>
      <c r="C59" s="98"/>
      <c r="D59" s="92" t="s">
        <v>166</v>
      </c>
      <c r="E59" s="431"/>
      <c r="F59" s="431"/>
      <c r="G59" s="431"/>
      <c r="H59" s="431"/>
      <c r="I59" s="431"/>
      <c r="J59" s="432"/>
    </row>
  </sheetData>
  <mergeCells count="30">
    <mergeCell ref="A59:B59"/>
    <mergeCell ref="E59:J59"/>
    <mergeCell ref="A55:B55"/>
    <mergeCell ref="E55:J55"/>
    <mergeCell ref="A51:B51"/>
    <mergeCell ref="E51:J51"/>
    <mergeCell ref="A43:B43"/>
    <mergeCell ref="E43:J43"/>
    <mergeCell ref="A47:B47"/>
    <mergeCell ref="E47:J47"/>
    <mergeCell ref="A27:B27"/>
    <mergeCell ref="E27:J27"/>
    <mergeCell ref="A35:B35"/>
    <mergeCell ref="E35:J35"/>
    <mergeCell ref="A39:B39"/>
    <mergeCell ref="E39:J39"/>
    <mergeCell ref="A31:B31"/>
    <mergeCell ref="E31:J31"/>
    <mergeCell ref="A15:B15"/>
    <mergeCell ref="E15:J15"/>
    <mergeCell ref="A19:B19"/>
    <mergeCell ref="E19:J19"/>
    <mergeCell ref="A23:B23"/>
    <mergeCell ref="E23:J23"/>
    <mergeCell ref="A3:B3"/>
    <mergeCell ref="E3:J3"/>
    <mergeCell ref="A7:B7"/>
    <mergeCell ref="E7:J7"/>
    <mergeCell ref="A11:B11"/>
    <mergeCell ref="E11:J11"/>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2367-89E9-4F24-B508-BF6D37C8A226}">
  <dimension ref="A1:R53"/>
  <sheetViews>
    <sheetView view="pageBreakPreview" zoomScaleNormal="100" zoomScaleSheetLayoutView="100" workbookViewId="0">
      <selection activeCell="D5" sqref="D5"/>
    </sheetView>
  </sheetViews>
  <sheetFormatPr defaultRowHeight="12.75" x14ac:dyDescent="0.2"/>
  <cols>
    <col min="1" max="1" width="3.7109375" customWidth="1"/>
    <col min="2" max="2" width="5" bestFit="1" customWidth="1"/>
    <col min="3" max="3" width="24.7109375" customWidth="1"/>
    <col min="4" max="4" width="3.7109375" customWidth="1"/>
    <col min="5" max="5" width="5" style="228" bestFit="1" customWidth="1"/>
    <col min="6" max="6" width="24.7109375" customWidth="1"/>
    <col min="7" max="7" width="3.7109375" customWidth="1"/>
    <col min="8" max="8" width="5" style="228" bestFit="1" customWidth="1"/>
    <col min="9" max="9" width="24.7109375" customWidth="1"/>
    <col min="10" max="10" width="3.7109375" customWidth="1"/>
    <col min="11" max="11" width="5" style="228" bestFit="1" customWidth="1"/>
    <col min="12" max="12" width="24.7109375" customWidth="1"/>
    <col min="13" max="13" width="3.7109375" customWidth="1"/>
    <col min="14" max="14" width="5" style="228" bestFit="1" customWidth="1"/>
    <col min="15" max="15" width="24.7109375" customWidth="1"/>
    <col min="16" max="16" width="3.7109375" customWidth="1"/>
    <col min="17" max="17" width="3.7109375" style="228" customWidth="1"/>
    <col min="18" max="18" width="28.42578125" customWidth="1"/>
    <col min="19" max="19" width="3.7109375" customWidth="1"/>
    <col min="20" max="20" width="24.7109375" customWidth="1"/>
  </cols>
  <sheetData>
    <row r="1" spans="1:18" ht="15" x14ac:dyDescent="0.2">
      <c r="A1" s="433" t="s">
        <v>591</v>
      </c>
      <c r="B1" s="433"/>
      <c r="C1" s="433"/>
      <c r="D1" s="433"/>
      <c r="E1" s="433"/>
      <c r="F1" s="433"/>
      <c r="G1" s="433"/>
      <c r="H1" s="433"/>
      <c r="I1" s="433"/>
      <c r="J1" s="433"/>
      <c r="K1" s="433"/>
      <c r="L1" s="433"/>
      <c r="M1" s="433"/>
      <c r="N1" s="433"/>
      <c r="O1" s="433"/>
      <c r="P1" s="433"/>
      <c r="Q1" s="433"/>
      <c r="R1" s="433"/>
    </row>
    <row r="2" spans="1:18" ht="15" x14ac:dyDescent="0.2">
      <c r="A2" s="433" t="s">
        <v>621</v>
      </c>
      <c r="B2" s="433"/>
      <c r="C2" s="433"/>
      <c r="D2" s="433"/>
      <c r="E2" s="433"/>
      <c r="F2" s="433"/>
      <c r="G2" s="433"/>
      <c r="H2" s="433"/>
      <c r="I2" s="433"/>
      <c r="J2" s="433"/>
      <c r="K2" s="433"/>
      <c r="L2" s="433"/>
      <c r="M2" s="433"/>
      <c r="N2" s="433"/>
      <c r="O2" s="433"/>
      <c r="P2" s="433"/>
      <c r="Q2" s="433"/>
      <c r="R2" s="433"/>
    </row>
    <row r="3" spans="1:18" ht="15" x14ac:dyDescent="0.2">
      <c r="A3" s="433"/>
      <c r="B3" s="433"/>
      <c r="C3" s="433"/>
      <c r="D3" s="433"/>
      <c r="E3" s="433"/>
      <c r="F3" s="433"/>
      <c r="G3" s="433"/>
      <c r="H3" s="433"/>
      <c r="I3" s="433"/>
      <c r="J3" s="433"/>
      <c r="K3" s="433"/>
      <c r="L3" s="433"/>
      <c r="M3" s="433"/>
      <c r="N3" s="433"/>
      <c r="O3" s="433"/>
      <c r="P3" s="433"/>
      <c r="Q3" s="433"/>
      <c r="R3" s="433"/>
    </row>
    <row r="4" spans="1:18" x14ac:dyDescent="0.2">
      <c r="A4" s="434" t="s">
        <v>222</v>
      </c>
      <c r="B4" s="434"/>
      <c r="C4" s="434"/>
      <c r="D4" s="434"/>
      <c r="E4" s="437" t="s">
        <v>223</v>
      </c>
      <c r="F4" s="437"/>
      <c r="G4" s="437"/>
      <c r="H4" s="436" t="s">
        <v>226</v>
      </c>
      <c r="I4" s="436"/>
      <c r="J4" s="436"/>
      <c r="K4" s="436" t="s">
        <v>227</v>
      </c>
      <c r="L4" s="436"/>
      <c r="M4" s="436"/>
      <c r="N4" s="436" t="s">
        <v>225</v>
      </c>
      <c r="O4" s="436"/>
      <c r="P4" s="436"/>
      <c r="Q4" s="436" t="s">
        <v>224</v>
      </c>
      <c r="R4" s="436"/>
    </row>
    <row r="5" spans="1:18" x14ac:dyDescent="0.2">
      <c r="A5" s="214">
        <v>1</v>
      </c>
      <c r="B5" s="279"/>
      <c r="C5" s="210" t="str">
        <f>IF(B5="","",VLOOKUP(B5,prezentace!A$2:E$200,5))</f>
        <v/>
      </c>
      <c r="D5" s="283"/>
      <c r="E5" s="330"/>
      <c r="F5" s="331"/>
      <c r="G5" s="332"/>
      <c r="H5" s="333"/>
      <c r="I5" s="331"/>
      <c r="J5" s="332"/>
      <c r="K5" s="330"/>
      <c r="L5" s="331"/>
      <c r="M5" s="334"/>
      <c r="N5" s="330"/>
      <c r="O5" s="331"/>
      <c r="P5" s="312"/>
    </row>
    <row r="6" spans="1:18" x14ac:dyDescent="0.2">
      <c r="A6" s="278">
        <f>A5+1</f>
        <v>2</v>
      </c>
      <c r="B6" s="280"/>
      <c r="C6" s="212" t="str">
        <f>IF(B6="","",VLOOKUP(B6,prezentace!A$2:E$200,5))</f>
        <v/>
      </c>
      <c r="D6" s="284"/>
      <c r="E6" s="273" t="s">
        <v>314</v>
      </c>
      <c r="F6" s="210" t="str">
        <f>IF(COUNTBLANK(D5:D6)&gt;0,"",IF(D5&gt;D6,C5,C6))</f>
        <v/>
      </c>
      <c r="G6" s="283"/>
      <c r="H6" s="333"/>
      <c r="I6" s="331"/>
      <c r="J6" s="332"/>
      <c r="K6" s="330"/>
      <c r="L6" s="331"/>
      <c r="M6" s="334"/>
      <c r="N6" s="330"/>
      <c r="O6" s="331"/>
      <c r="P6" s="312"/>
    </row>
    <row r="7" spans="1:18" x14ac:dyDescent="0.2">
      <c r="A7" s="39"/>
      <c r="B7" s="335"/>
      <c r="C7" s="331"/>
      <c r="D7" s="332"/>
      <c r="E7" s="330"/>
      <c r="F7" s="331"/>
      <c r="G7" s="287"/>
      <c r="H7" s="336" t="s">
        <v>110</v>
      </c>
      <c r="I7" s="218" t="str">
        <f>IF(COUNTBLANK(G6:G8)&gt;1,"",IF(G6&gt;G8,F6,F8))</f>
        <v/>
      </c>
      <c r="J7" s="283"/>
      <c r="K7" s="330"/>
      <c r="L7" s="331"/>
      <c r="M7" s="332"/>
      <c r="N7" s="330"/>
      <c r="O7" s="331"/>
      <c r="P7" s="312"/>
    </row>
    <row r="8" spans="1:18" x14ac:dyDescent="0.2">
      <c r="A8" s="214">
        <f>A6+1</f>
        <v>3</v>
      </c>
      <c r="B8" s="279"/>
      <c r="C8" s="210" t="str">
        <f>IF(B8="","",VLOOKUP(B8,prezentace!A$2:E$200,5))</f>
        <v/>
      </c>
      <c r="D8" s="283"/>
      <c r="E8" s="277" t="s">
        <v>314</v>
      </c>
      <c r="F8" s="212" t="str">
        <f>IF(COUNTBLANK(D8:D9)&gt;0,"",IF(D8&gt;D9,C8,C9))</f>
        <v/>
      </c>
      <c r="G8" s="284"/>
      <c r="H8" s="333"/>
      <c r="I8" s="331"/>
      <c r="J8" s="287"/>
      <c r="K8" s="330"/>
      <c r="L8" s="331"/>
      <c r="M8" s="334"/>
      <c r="N8" s="330"/>
      <c r="O8" s="331"/>
      <c r="P8" s="312"/>
    </row>
    <row r="9" spans="1:18" x14ac:dyDescent="0.2">
      <c r="A9" s="278">
        <f>A8+1</f>
        <v>4</v>
      </c>
      <c r="B9" s="280"/>
      <c r="C9" s="212" t="str">
        <f>IF(B9="","",VLOOKUP(B9,prezentace!A$2:E$200,5))</f>
        <v/>
      </c>
      <c r="D9" s="284"/>
      <c r="E9" s="330"/>
      <c r="F9" s="331"/>
      <c r="G9" s="332"/>
      <c r="H9" s="333"/>
      <c r="I9" s="331"/>
      <c r="J9" s="287"/>
      <c r="K9" s="330"/>
      <c r="L9" s="331"/>
      <c r="M9" s="334"/>
      <c r="N9" s="330"/>
      <c r="O9" s="331"/>
      <c r="P9" s="312"/>
    </row>
    <row r="10" spans="1:18" x14ac:dyDescent="0.2">
      <c r="A10" s="39"/>
      <c r="B10" s="335"/>
      <c r="C10" s="331"/>
      <c r="D10" s="332"/>
      <c r="E10" s="330"/>
      <c r="F10" s="331"/>
      <c r="G10" s="332"/>
      <c r="H10" s="333"/>
      <c r="I10" s="331"/>
      <c r="J10" s="287"/>
      <c r="K10" s="336" t="s">
        <v>315</v>
      </c>
      <c r="L10" s="218" t="str">
        <f>IF(COUNTBLANK(J7:J13)&gt;5,"",IF(J7&gt;J13,I7,I13))</f>
        <v/>
      </c>
      <c r="M10" s="283"/>
      <c r="N10" s="330"/>
      <c r="O10" s="331"/>
      <c r="P10" s="312"/>
    </row>
    <row r="11" spans="1:18" x14ac:dyDescent="0.2">
      <c r="A11" s="214">
        <f>A9+1</f>
        <v>5</v>
      </c>
      <c r="B11" s="279"/>
      <c r="C11" s="210" t="str">
        <f>IF(B11="","",VLOOKUP(B11,prezentace!A$2:E$200,5))</f>
        <v/>
      </c>
      <c r="D11" s="283"/>
      <c r="E11" s="330"/>
      <c r="F11" s="331"/>
      <c r="G11" s="332"/>
      <c r="H11" s="333"/>
      <c r="I11" s="331"/>
      <c r="J11" s="287"/>
      <c r="K11" s="330"/>
      <c r="L11" s="331"/>
      <c r="M11" s="337"/>
      <c r="N11" s="330"/>
      <c r="O11" s="331"/>
      <c r="P11" s="312"/>
    </row>
    <row r="12" spans="1:18" x14ac:dyDescent="0.2">
      <c r="A12" s="278">
        <f>A11+1</f>
        <v>6</v>
      </c>
      <c r="B12" s="280"/>
      <c r="C12" s="212" t="str">
        <f>IF(B12="","",VLOOKUP(B12,prezentace!A$2:E$200,5))</f>
        <v/>
      </c>
      <c r="D12" s="284"/>
      <c r="E12" s="273" t="s">
        <v>314</v>
      </c>
      <c r="F12" s="210" t="str">
        <f>IF(COUNTBLANK(D11:D12)&gt;0,"",IF(D11&gt;D12,C11,C12))</f>
        <v/>
      </c>
      <c r="G12" s="283"/>
      <c r="H12" s="333"/>
      <c r="I12" s="331"/>
      <c r="J12" s="287"/>
      <c r="K12" s="330"/>
      <c r="L12" s="331"/>
      <c r="M12" s="337"/>
      <c r="N12" s="330"/>
      <c r="O12" s="331"/>
      <c r="P12" s="312"/>
    </row>
    <row r="13" spans="1:18" x14ac:dyDescent="0.2">
      <c r="A13" s="39"/>
      <c r="B13" s="335"/>
      <c r="C13" s="331"/>
      <c r="D13" s="332"/>
      <c r="E13" s="330"/>
      <c r="F13" s="331"/>
      <c r="G13" s="287"/>
      <c r="H13" s="336" t="s">
        <v>110</v>
      </c>
      <c r="I13" s="218" t="str">
        <f>IF(COUNTBLANK(G12:G14)&gt;1,"",IF(G12&gt;G14,F12,F14))</f>
        <v/>
      </c>
      <c r="J13" s="284"/>
      <c r="K13" s="330"/>
      <c r="L13" s="338"/>
      <c r="M13" s="287"/>
      <c r="N13" s="330"/>
      <c r="O13" s="331"/>
      <c r="P13" s="312"/>
    </row>
    <row r="14" spans="1:18" x14ac:dyDescent="0.2">
      <c r="A14" s="214">
        <f>A12+1</f>
        <v>7</v>
      </c>
      <c r="B14" s="279"/>
      <c r="C14" s="210" t="str">
        <f>IF(B14="","",VLOOKUP(B14,prezentace!A$2:E$200,5))</f>
        <v/>
      </c>
      <c r="D14" s="283"/>
      <c r="E14" s="277" t="s">
        <v>314</v>
      </c>
      <c r="F14" s="212" t="str">
        <f>IF(COUNTBLANK(D14:D15)&gt;0,"",IF(D14&gt;D15,C14,C15))</f>
        <v/>
      </c>
      <c r="G14" s="284"/>
      <c r="H14" s="333"/>
      <c r="I14" s="331"/>
      <c r="J14" s="332"/>
      <c r="K14" s="330"/>
      <c r="L14" s="331"/>
      <c r="M14" s="337"/>
      <c r="N14" s="330"/>
      <c r="O14" s="331"/>
      <c r="P14" s="312"/>
    </row>
    <row r="15" spans="1:18" x14ac:dyDescent="0.2">
      <c r="A15" s="278">
        <f>A14+1</f>
        <v>8</v>
      </c>
      <c r="B15" s="280"/>
      <c r="C15" s="212" t="str">
        <f>IF(B15="","",VLOOKUP(B15,prezentace!A$2:E$200,5))</f>
        <v/>
      </c>
      <c r="D15" s="284"/>
      <c r="E15" s="330"/>
      <c r="F15" s="331"/>
      <c r="G15" s="332"/>
      <c r="H15" s="333"/>
      <c r="I15" s="331"/>
      <c r="J15" s="332"/>
      <c r="K15" s="330"/>
      <c r="L15" s="331"/>
      <c r="M15" s="339"/>
      <c r="N15" s="340"/>
      <c r="O15" s="331"/>
      <c r="P15" s="312"/>
    </row>
    <row r="16" spans="1:18" x14ac:dyDescent="0.2">
      <c r="A16" s="32"/>
      <c r="B16" s="341"/>
      <c r="C16" s="331"/>
      <c r="D16" s="332"/>
      <c r="E16" s="330"/>
      <c r="F16" s="331"/>
      <c r="G16" s="332"/>
      <c r="H16" s="333"/>
      <c r="I16" s="331"/>
      <c r="J16" s="332"/>
      <c r="K16" s="330"/>
      <c r="L16" s="331"/>
      <c r="M16" s="339"/>
      <c r="N16" s="336" t="s">
        <v>319</v>
      </c>
      <c r="O16" s="218" t="str">
        <f>IF(COUNTBLANK(M10:M22)&gt;11,"",IF(M10&gt;M22,L10,L22))</f>
        <v/>
      </c>
      <c r="P16" s="313"/>
      <c r="Q16" s="342"/>
    </row>
    <row r="17" spans="1:18" x14ac:dyDescent="0.2">
      <c r="A17" s="214">
        <f>A15+1</f>
        <v>9</v>
      </c>
      <c r="B17" s="279"/>
      <c r="C17" s="210" t="str">
        <f>IF(B17="","",VLOOKUP(B17,prezentace!A$2:E$200,5))</f>
        <v/>
      </c>
      <c r="D17" s="283"/>
      <c r="E17" s="330"/>
      <c r="F17" s="331"/>
      <c r="G17" s="332"/>
      <c r="H17" s="333"/>
      <c r="I17" s="331"/>
      <c r="J17" s="332"/>
      <c r="K17" s="330"/>
      <c r="L17" s="331"/>
      <c r="M17" s="337"/>
      <c r="N17" s="330"/>
      <c r="O17" s="331"/>
      <c r="P17" s="314"/>
    </row>
    <row r="18" spans="1:18" x14ac:dyDescent="0.2">
      <c r="A18" s="278">
        <f>A17+1</f>
        <v>10</v>
      </c>
      <c r="B18" s="280"/>
      <c r="C18" s="212" t="str">
        <f>IF(B18="","",VLOOKUP(B18,prezentace!A$2:E$200,5))</f>
        <v/>
      </c>
      <c r="D18" s="284"/>
      <c r="E18" s="273" t="s">
        <v>314</v>
      </c>
      <c r="F18" s="210" t="str">
        <f>IF(COUNTBLANK(D17:D18)&gt;0,"",IF(D17&gt;D18,C17,C18))</f>
        <v/>
      </c>
      <c r="G18" s="283"/>
      <c r="H18" s="333"/>
      <c r="I18" s="331"/>
      <c r="J18" s="332"/>
      <c r="K18" s="330"/>
      <c r="L18" s="331"/>
      <c r="M18" s="337"/>
      <c r="N18" s="330"/>
      <c r="O18" s="331"/>
      <c r="P18" s="314"/>
    </row>
    <row r="19" spans="1:18" x14ac:dyDescent="0.2">
      <c r="A19" s="39"/>
      <c r="B19" s="335"/>
      <c r="C19" s="331"/>
      <c r="D19" s="332"/>
      <c r="E19" s="330"/>
      <c r="F19" s="331"/>
      <c r="G19" s="287"/>
      <c r="H19" s="336" t="s">
        <v>110</v>
      </c>
      <c r="I19" s="218" t="str">
        <f>IF(COUNTBLANK(G18:G20)&gt;1,"",IF(G18&gt;G20,F18,F20))</f>
        <v/>
      </c>
      <c r="J19" s="283"/>
      <c r="K19" s="330"/>
      <c r="L19" s="331"/>
      <c r="M19" s="287"/>
      <c r="N19" s="330"/>
      <c r="O19" s="331"/>
      <c r="P19" s="314"/>
    </row>
    <row r="20" spans="1:18" x14ac:dyDescent="0.2">
      <c r="A20" s="214">
        <f>A18+1</f>
        <v>11</v>
      </c>
      <c r="B20" s="279"/>
      <c r="C20" s="210" t="str">
        <f>IF(B20="","",VLOOKUP(B20,prezentace!A$2:E$200,5))</f>
        <v/>
      </c>
      <c r="D20" s="283"/>
      <c r="E20" s="277" t="s">
        <v>314</v>
      </c>
      <c r="F20" s="212" t="str">
        <f>IF(COUNTBLANK(D20:D21)&gt;0,"",IF(D20&gt;D21,C20,C21))</f>
        <v/>
      </c>
      <c r="G20" s="284"/>
      <c r="H20" s="333"/>
      <c r="I20" s="331"/>
      <c r="J20" s="287"/>
      <c r="K20" s="330"/>
      <c r="L20" s="331"/>
      <c r="M20" s="337"/>
      <c r="N20" s="330"/>
      <c r="O20" s="331"/>
      <c r="P20" s="314"/>
    </row>
    <row r="21" spans="1:18" x14ac:dyDescent="0.2">
      <c r="A21" s="278">
        <f>A20+1</f>
        <v>12</v>
      </c>
      <c r="B21" s="280"/>
      <c r="C21" s="212" t="str">
        <f>IF(B21="","",VLOOKUP(B21,prezentace!A$2:E$200,5))</f>
        <v/>
      </c>
      <c r="D21" s="284"/>
      <c r="E21" s="330"/>
      <c r="F21" s="331"/>
      <c r="G21" s="332"/>
      <c r="H21" s="333"/>
      <c r="I21" s="331"/>
      <c r="J21" s="287"/>
      <c r="K21" s="330"/>
      <c r="L21" s="331"/>
      <c r="M21" s="337"/>
      <c r="N21" s="330"/>
      <c r="O21" s="331"/>
      <c r="P21" s="314"/>
    </row>
    <row r="22" spans="1:18" x14ac:dyDescent="0.2">
      <c r="A22" s="32"/>
      <c r="B22" s="341"/>
      <c r="C22" s="331"/>
      <c r="D22" s="332"/>
      <c r="E22" s="330"/>
      <c r="F22" s="331"/>
      <c r="G22" s="332"/>
      <c r="H22" s="333"/>
      <c r="I22" s="331"/>
      <c r="J22" s="287"/>
      <c r="K22" s="336" t="s">
        <v>315</v>
      </c>
      <c r="L22" s="218" t="str">
        <f>IF(COUNTBLANK(J19:J25)&gt;5,"",IF(J19&gt;J25,I19,I25))</f>
        <v/>
      </c>
      <c r="M22" s="284"/>
      <c r="N22" s="330"/>
      <c r="O22" s="331"/>
      <c r="P22" s="314"/>
    </row>
    <row r="23" spans="1:18" x14ac:dyDescent="0.2">
      <c r="A23" s="214">
        <f>A21+1</f>
        <v>13</v>
      </c>
      <c r="B23" s="279"/>
      <c r="C23" s="210" t="str">
        <f>IF(B23="","",VLOOKUP(B23,prezentace!A$2:E$200,5))</f>
        <v/>
      </c>
      <c r="D23" s="283"/>
      <c r="E23" s="330"/>
      <c r="F23" s="331"/>
      <c r="G23" s="332"/>
      <c r="H23" s="333"/>
      <c r="I23" s="331"/>
      <c r="J23" s="287"/>
      <c r="K23" s="330"/>
      <c r="L23" s="331"/>
      <c r="M23" s="334"/>
      <c r="N23" s="330"/>
      <c r="O23" s="331"/>
      <c r="P23" s="314"/>
    </row>
    <row r="24" spans="1:18" x14ac:dyDescent="0.2">
      <c r="A24" s="278">
        <f>A23+1</f>
        <v>14</v>
      </c>
      <c r="B24" s="280"/>
      <c r="C24" s="212" t="str">
        <f>IF(B24="","",VLOOKUP(B24,prezentace!A$2:E$200,5))</f>
        <v/>
      </c>
      <c r="D24" s="284"/>
      <c r="E24" s="273" t="s">
        <v>314</v>
      </c>
      <c r="F24" s="210" t="str">
        <f>IF(COUNTBLANK(D23:D24)&gt;0,"",IF(D23&gt;D24,C23,C24))</f>
        <v/>
      </c>
      <c r="G24" s="283"/>
      <c r="H24" s="333"/>
      <c r="I24" s="331"/>
      <c r="J24" s="287"/>
      <c r="K24" s="330"/>
      <c r="L24" s="331"/>
      <c r="M24" s="334"/>
      <c r="N24" s="330"/>
      <c r="O24" s="331"/>
      <c r="P24" s="314"/>
    </row>
    <row r="25" spans="1:18" x14ac:dyDescent="0.2">
      <c r="A25" s="39"/>
      <c r="B25" s="335"/>
      <c r="C25" s="331"/>
      <c r="D25" s="332"/>
      <c r="E25" s="330"/>
      <c r="F25" s="331"/>
      <c r="G25" s="287"/>
      <c r="H25" s="336" t="s">
        <v>110</v>
      </c>
      <c r="I25" s="218" t="str">
        <f>IF(COUNTBLANK(G24:G26)&gt;1,"",IF(G24&gt;G26,F24,F26))</f>
        <v/>
      </c>
      <c r="J25" s="284"/>
      <c r="K25" s="330"/>
      <c r="L25" s="338"/>
      <c r="M25" s="334"/>
      <c r="N25" s="330"/>
      <c r="O25" s="331"/>
      <c r="P25" s="314"/>
    </row>
    <row r="26" spans="1:18" x14ac:dyDescent="0.2">
      <c r="A26" s="214">
        <f>A24+1</f>
        <v>15</v>
      </c>
      <c r="B26" s="279"/>
      <c r="C26" s="210" t="str">
        <f>IF(B26="","",VLOOKUP(B26,prezentace!A$2:E$200,5))</f>
        <v/>
      </c>
      <c r="D26" s="283"/>
      <c r="E26" s="277" t="s">
        <v>314</v>
      </c>
      <c r="F26" s="212" t="str">
        <f>IF(COUNTBLANK(D26:D27)&gt;0,"",IF(D26&gt;D27,C26,C27))</f>
        <v/>
      </c>
      <c r="G26" s="284"/>
      <c r="H26" s="333"/>
      <c r="I26" s="331"/>
      <c r="J26" s="332"/>
      <c r="K26" s="330"/>
      <c r="L26" s="331"/>
      <c r="M26" s="334"/>
      <c r="N26" s="330"/>
      <c r="O26" s="331"/>
      <c r="P26" s="314"/>
    </row>
    <row r="27" spans="1:18" x14ac:dyDescent="0.2">
      <c r="A27" s="278">
        <f>A26+1</f>
        <v>16</v>
      </c>
      <c r="B27" s="280"/>
      <c r="C27" s="212" t="str">
        <f>IF(B27="","",VLOOKUP(B27,prezentace!A$2:E$200,5))</f>
        <v/>
      </c>
      <c r="D27" s="284"/>
      <c r="E27" s="330"/>
      <c r="F27" s="331"/>
      <c r="G27" s="332"/>
      <c r="H27" s="333"/>
      <c r="I27" s="331"/>
      <c r="J27" s="332"/>
      <c r="K27" s="330"/>
      <c r="L27" s="331"/>
      <c r="M27" s="334"/>
      <c r="N27" s="330"/>
      <c r="O27" s="331"/>
      <c r="P27" s="314"/>
    </row>
    <row r="28" spans="1:18" x14ac:dyDescent="0.2">
      <c r="A28" s="216"/>
      <c r="B28" s="316"/>
      <c r="C28" s="217"/>
      <c r="D28" s="311"/>
      <c r="E28" s="343"/>
      <c r="F28" s="344"/>
      <c r="G28" s="345"/>
      <c r="H28" s="343"/>
      <c r="I28" s="344"/>
      <c r="J28" s="345"/>
      <c r="K28" s="346"/>
      <c r="L28" s="331"/>
      <c r="M28" s="332"/>
      <c r="N28" s="330"/>
      <c r="O28" s="331"/>
      <c r="P28" s="314"/>
      <c r="Q28" s="336" t="s">
        <v>320</v>
      </c>
      <c r="R28" s="219" t="str">
        <f>IF(COUNTBLANK(P16:P40)&gt;23,"",IF(P16&gt;P40,O16,O40))</f>
        <v/>
      </c>
    </row>
    <row r="29" spans="1:18" x14ac:dyDescent="0.2">
      <c r="A29" s="214">
        <f>A27+1</f>
        <v>17</v>
      </c>
      <c r="B29" s="279"/>
      <c r="C29" s="210" t="str">
        <f>IF(B29="","",VLOOKUP(B29,prezentace!A$2:E$200,5))</f>
        <v/>
      </c>
      <c r="D29" s="283"/>
      <c r="E29" s="330"/>
      <c r="F29" s="331"/>
      <c r="G29" s="332"/>
      <c r="H29" s="333"/>
      <c r="I29" s="331"/>
      <c r="J29" s="332"/>
      <c r="K29" s="330"/>
      <c r="L29" s="331"/>
      <c r="M29" s="334"/>
      <c r="N29" s="330"/>
      <c r="O29" s="331"/>
      <c r="P29" s="314"/>
    </row>
    <row r="30" spans="1:18" x14ac:dyDescent="0.2">
      <c r="A30" s="278">
        <f>A29+1</f>
        <v>18</v>
      </c>
      <c r="B30" s="280"/>
      <c r="C30" s="212" t="str">
        <f>IF(B30="","",VLOOKUP(B30,prezentace!A$2:E$200,5))</f>
        <v/>
      </c>
      <c r="D30" s="284"/>
      <c r="E30" s="273" t="s">
        <v>314</v>
      </c>
      <c r="F30" s="210" t="str">
        <f>IF(COUNTBLANK(D29:D30)&gt;0,"",IF(D29&gt;D30,C29,C30))</f>
        <v/>
      </c>
      <c r="G30" s="283"/>
      <c r="H30" s="333"/>
      <c r="I30" s="331"/>
      <c r="J30" s="332"/>
      <c r="K30" s="330"/>
      <c r="L30" s="331"/>
      <c r="M30" s="334"/>
      <c r="N30" s="330"/>
      <c r="O30" s="331"/>
      <c r="P30" s="314"/>
    </row>
    <row r="31" spans="1:18" x14ac:dyDescent="0.2">
      <c r="A31" s="39"/>
      <c r="B31" s="335"/>
      <c r="C31" s="331"/>
      <c r="D31" s="332"/>
      <c r="E31" s="330"/>
      <c r="F31" s="331"/>
      <c r="G31" s="287"/>
      <c r="H31" s="336" t="s">
        <v>110</v>
      </c>
      <c r="I31" s="218" t="str">
        <f>IF(COUNTBLANK(G30:G32)&gt;1,"",IF(G30&gt;G32,F30,F32))</f>
        <v/>
      </c>
      <c r="J31" s="283"/>
      <c r="K31" s="330"/>
      <c r="L31" s="331"/>
      <c r="M31" s="332"/>
      <c r="N31" s="330"/>
      <c r="O31" s="331"/>
      <c r="P31" s="314"/>
    </row>
    <row r="32" spans="1:18" x14ac:dyDescent="0.2">
      <c r="A32" s="214">
        <f>A30+1</f>
        <v>19</v>
      </c>
      <c r="B32" s="279"/>
      <c r="C32" s="210" t="str">
        <f>IF(B32="","",VLOOKUP(B32,prezentace!A$2:E$200,5))</f>
        <v/>
      </c>
      <c r="D32" s="283"/>
      <c r="E32" s="277" t="s">
        <v>314</v>
      </c>
      <c r="F32" s="212" t="str">
        <f>IF(COUNTBLANK(D32:D33)&gt;0,"",IF(D32&gt;D33,C32,C33))</f>
        <v/>
      </c>
      <c r="G32" s="284"/>
      <c r="H32" s="333"/>
      <c r="I32" s="331"/>
      <c r="J32" s="287"/>
      <c r="K32" s="330"/>
      <c r="L32" s="331"/>
      <c r="M32" s="334"/>
      <c r="N32" s="330"/>
      <c r="O32" s="331"/>
      <c r="P32" s="314"/>
    </row>
    <row r="33" spans="1:17" x14ac:dyDescent="0.2">
      <c r="A33" s="278">
        <f>A32+1</f>
        <v>20</v>
      </c>
      <c r="B33" s="280"/>
      <c r="C33" s="212" t="str">
        <f>IF(B33="","",VLOOKUP(B33,prezentace!A$2:E$200,5))</f>
        <v/>
      </c>
      <c r="D33" s="284"/>
      <c r="E33" s="330"/>
      <c r="F33" s="331"/>
      <c r="G33" s="332"/>
      <c r="H33" s="333"/>
      <c r="I33" s="331"/>
      <c r="J33" s="287"/>
      <c r="K33" s="330"/>
      <c r="L33" s="331"/>
      <c r="M33" s="334"/>
      <c r="N33" s="330"/>
      <c r="O33" s="331"/>
      <c r="P33" s="314"/>
    </row>
    <row r="34" spans="1:17" x14ac:dyDescent="0.2">
      <c r="A34" s="39"/>
      <c r="B34" s="335"/>
      <c r="C34" s="331"/>
      <c r="D34" s="332"/>
      <c r="E34" s="330"/>
      <c r="F34" s="331"/>
      <c r="G34" s="332"/>
      <c r="H34" s="333"/>
      <c r="I34" s="331"/>
      <c r="J34" s="287"/>
      <c r="K34" s="336" t="s">
        <v>315</v>
      </c>
      <c r="L34" s="218" t="str">
        <f>IF(COUNTBLANK(J31:J37)&gt;5,"",IF(J31&gt;J37,I31,I37))</f>
        <v/>
      </c>
      <c r="M34" s="283"/>
      <c r="N34" s="330"/>
      <c r="O34" s="331"/>
      <c r="P34" s="314"/>
    </row>
    <row r="35" spans="1:17" x14ac:dyDescent="0.2">
      <c r="A35" s="214">
        <f>A33+1</f>
        <v>21</v>
      </c>
      <c r="B35" s="279"/>
      <c r="C35" s="210" t="str">
        <f>IF(B35="","",VLOOKUP(B35,prezentace!A$2:E$200,5))</f>
        <v/>
      </c>
      <c r="D35" s="283"/>
      <c r="E35" s="330"/>
      <c r="F35" s="331"/>
      <c r="G35" s="332"/>
      <c r="H35" s="333"/>
      <c r="I35" s="331"/>
      <c r="J35" s="287"/>
      <c r="K35" s="330"/>
      <c r="L35" s="331"/>
      <c r="M35" s="337"/>
      <c r="N35" s="330"/>
      <c r="O35" s="331"/>
      <c r="P35" s="314"/>
    </row>
    <row r="36" spans="1:17" x14ac:dyDescent="0.2">
      <c r="A36" s="278">
        <f>A35+1</f>
        <v>22</v>
      </c>
      <c r="B36" s="280"/>
      <c r="C36" s="212" t="str">
        <f>IF(B36="","",VLOOKUP(B36,prezentace!A$2:E$200,5))</f>
        <v/>
      </c>
      <c r="D36" s="284"/>
      <c r="E36" s="273" t="s">
        <v>314</v>
      </c>
      <c r="F36" s="210" t="str">
        <f>IF(COUNTBLANK(D35:D36)&gt;0,"",IF(D35&gt;D36,C35,C36))</f>
        <v/>
      </c>
      <c r="G36" s="283"/>
      <c r="H36" s="333"/>
      <c r="I36" s="331"/>
      <c r="J36" s="287"/>
      <c r="K36" s="330"/>
      <c r="L36" s="331"/>
      <c r="M36" s="337"/>
      <c r="N36" s="330"/>
      <c r="O36" s="331"/>
      <c r="P36" s="314"/>
    </row>
    <row r="37" spans="1:17" x14ac:dyDescent="0.2">
      <c r="A37" s="39"/>
      <c r="B37" s="335"/>
      <c r="C37" s="331"/>
      <c r="D37" s="332"/>
      <c r="E37" s="330"/>
      <c r="F37" s="331"/>
      <c r="G37" s="287"/>
      <c r="H37" s="336" t="s">
        <v>110</v>
      </c>
      <c r="I37" s="218" t="str">
        <f>IF(COUNTBLANK(G36:G38)&gt;1,"",IF(G36&gt;G38,F36,F38))</f>
        <v/>
      </c>
      <c r="J37" s="284"/>
      <c r="K37" s="330"/>
      <c r="L37" s="338"/>
      <c r="M37" s="287"/>
      <c r="N37" s="330"/>
      <c r="O37" s="331"/>
      <c r="P37" s="314"/>
    </row>
    <row r="38" spans="1:17" x14ac:dyDescent="0.2">
      <c r="A38" s="214">
        <f>A36+1</f>
        <v>23</v>
      </c>
      <c r="B38" s="279"/>
      <c r="C38" s="210" t="str">
        <f>IF(B38="","",VLOOKUP(B38,prezentace!A$2:E$200,5))</f>
        <v/>
      </c>
      <c r="D38" s="283"/>
      <c r="E38" s="277" t="s">
        <v>314</v>
      </c>
      <c r="F38" s="212" t="str">
        <f>IF(COUNTBLANK(D38:D39)&gt;0,"",IF(D38&gt;D39,C38,C39))</f>
        <v/>
      </c>
      <c r="G38" s="284"/>
      <c r="H38" s="333"/>
      <c r="I38" s="331"/>
      <c r="J38" s="332"/>
      <c r="K38" s="330"/>
      <c r="L38" s="331"/>
      <c r="M38" s="337"/>
      <c r="N38" s="330"/>
      <c r="O38" s="331"/>
      <c r="P38" s="314"/>
    </row>
    <row r="39" spans="1:17" x14ac:dyDescent="0.2">
      <c r="A39" s="278">
        <f>A38+1</f>
        <v>24</v>
      </c>
      <c r="B39" s="280"/>
      <c r="C39" s="212" t="str">
        <f>IF(B39="","",VLOOKUP(B39,prezentace!A$2:E$200,5))</f>
        <v/>
      </c>
      <c r="D39" s="284"/>
      <c r="E39" s="330"/>
      <c r="F39" s="331"/>
      <c r="G39" s="332"/>
      <c r="H39" s="333"/>
      <c r="I39" s="331"/>
      <c r="J39" s="332"/>
      <c r="K39" s="330"/>
      <c r="L39" s="331"/>
      <c r="M39" s="339"/>
      <c r="N39" s="340"/>
      <c r="O39" s="331"/>
      <c r="P39" s="314"/>
    </row>
    <row r="40" spans="1:17" x14ac:dyDescent="0.2">
      <c r="A40" s="32"/>
      <c r="B40" s="341"/>
      <c r="C40" s="331"/>
      <c r="D40" s="332"/>
      <c r="E40" s="330"/>
      <c r="F40" s="331"/>
      <c r="G40" s="332"/>
      <c r="H40" s="333"/>
      <c r="I40" s="331"/>
      <c r="J40" s="332"/>
      <c r="K40" s="330"/>
      <c r="L40" s="331"/>
      <c r="M40" s="339"/>
      <c r="N40" s="336" t="s">
        <v>319</v>
      </c>
      <c r="O40" s="218" t="str">
        <f>IF(COUNTBLANK(M34:M46)&gt;11,"",IF(M34&gt;M46,L34,L46))</f>
        <v/>
      </c>
      <c r="P40" s="315"/>
      <c r="Q40" s="342"/>
    </row>
    <row r="41" spans="1:17" x14ac:dyDescent="0.2">
      <c r="A41" s="214">
        <f>A39+1</f>
        <v>25</v>
      </c>
      <c r="B41" s="279"/>
      <c r="C41" s="210" t="str">
        <f>IF(B41="","",VLOOKUP(B41,prezentace!A$2:E$200,5))</f>
        <v/>
      </c>
      <c r="D41" s="283"/>
      <c r="E41" s="330"/>
      <c r="F41" s="331"/>
      <c r="G41" s="332"/>
      <c r="H41" s="333"/>
      <c r="I41" s="331"/>
      <c r="J41" s="332"/>
      <c r="K41" s="330"/>
      <c r="L41" s="331"/>
      <c r="M41" s="337"/>
      <c r="N41" s="330"/>
      <c r="O41" s="331"/>
      <c r="P41" s="312"/>
    </row>
    <row r="42" spans="1:17" x14ac:dyDescent="0.2">
      <c r="A42" s="278">
        <f>A41+1</f>
        <v>26</v>
      </c>
      <c r="B42" s="280"/>
      <c r="C42" s="212" t="str">
        <f>IF(B42="","",VLOOKUP(B42,prezentace!A$2:E$200,5))</f>
        <v/>
      </c>
      <c r="D42" s="284"/>
      <c r="E42" s="273" t="s">
        <v>314</v>
      </c>
      <c r="F42" s="210" t="str">
        <f>IF(COUNTBLANK(D41:D42)&gt;0,"",IF(D41&gt;D42,C41,C42))</f>
        <v/>
      </c>
      <c r="G42" s="283"/>
      <c r="H42" s="333"/>
      <c r="I42" s="331"/>
      <c r="J42" s="332"/>
      <c r="K42" s="330"/>
      <c r="L42" s="331"/>
      <c r="M42" s="337"/>
      <c r="N42" s="330"/>
      <c r="O42" s="331"/>
      <c r="P42" s="312"/>
    </row>
    <row r="43" spans="1:17" x14ac:dyDescent="0.2">
      <c r="A43" s="39"/>
      <c r="B43" s="335"/>
      <c r="C43" s="331"/>
      <c r="D43" s="332"/>
      <c r="E43" s="330"/>
      <c r="F43" s="331"/>
      <c r="G43" s="287"/>
      <c r="H43" s="336" t="s">
        <v>110</v>
      </c>
      <c r="I43" s="218" t="str">
        <f>IF(COUNTBLANK(G42:G44)&gt;1,"",IF(G42&gt;G44,F42,F44))</f>
        <v/>
      </c>
      <c r="J43" s="283"/>
      <c r="K43" s="330"/>
      <c r="L43" s="331"/>
      <c r="M43" s="287"/>
      <c r="N43" s="330"/>
      <c r="O43" s="331"/>
      <c r="P43" s="312"/>
    </row>
    <row r="44" spans="1:17" x14ac:dyDescent="0.2">
      <c r="A44" s="214">
        <f>A42+1</f>
        <v>27</v>
      </c>
      <c r="B44" s="279"/>
      <c r="C44" s="210" t="str">
        <f>IF(B44="","",VLOOKUP(B44,prezentace!A$2:E$200,5))</f>
        <v/>
      </c>
      <c r="D44" s="283"/>
      <c r="E44" s="277" t="s">
        <v>314</v>
      </c>
      <c r="F44" s="212" t="str">
        <f>IF(COUNTBLANK(D44:D45)&gt;0,"",IF(D44&gt;D45,C44,C45))</f>
        <v/>
      </c>
      <c r="G44" s="284"/>
      <c r="H44" s="333"/>
      <c r="I44" s="331"/>
      <c r="J44" s="287"/>
      <c r="K44" s="330"/>
      <c r="L44" s="331"/>
      <c r="M44" s="337"/>
      <c r="N44" s="330"/>
      <c r="O44" s="331"/>
      <c r="P44" s="312"/>
    </row>
    <row r="45" spans="1:17" x14ac:dyDescent="0.2">
      <c r="A45" s="278">
        <f>A44+1</f>
        <v>28</v>
      </c>
      <c r="B45" s="280"/>
      <c r="C45" s="212" t="str">
        <f>IF(B45="","",VLOOKUP(B45,prezentace!A$2:E$200,5))</f>
        <v/>
      </c>
      <c r="D45" s="284"/>
      <c r="E45" s="330"/>
      <c r="F45" s="331"/>
      <c r="G45" s="332"/>
      <c r="H45" s="333"/>
      <c r="I45" s="331"/>
      <c r="J45" s="287"/>
      <c r="K45" s="330"/>
      <c r="L45" s="331"/>
      <c r="M45" s="337"/>
      <c r="N45" s="330"/>
      <c r="O45" s="331"/>
      <c r="P45" s="312"/>
    </row>
    <row r="46" spans="1:17" x14ac:dyDescent="0.2">
      <c r="A46" s="32"/>
      <c r="B46" s="341"/>
      <c r="C46" s="331"/>
      <c r="D46" s="332"/>
      <c r="E46" s="330"/>
      <c r="F46" s="331"/>
      <c r="G46" s="332"/>
      <c r="H46" s="333"/>
      <c r="I46" s="331"/>
      <c r="J46" s="287"/>
      <c r="K46" s="336" t="s">
        <v>315</v>
      </c>
      <c r="L46" s="218" t="str">
        <f>IF(COUNTBLANK(J43:J49)&gt;5,"",IF(J43&gt;J49,I43,I49))</f>
        <v/>
      </c>
      <c r="M46" s="284"/>
      <c r="N46" s="330"/>
      <c r="O46" s="331"/>
      <c r="P46" s="312"/>
    </row>
    <row r="47" spans="1:17" x14ac:dyDescent="0.2">
      <c r="A47" s="214">
        <f>A45+1</f>
        <v>29</v>
      </c>
      <c r="B47" s="279"/>
      <c r="C47" s="210" t="str">
        <f>IF(B47="","",VLOOKUP(B47,prezentace!A$2:E$200,5))</f>
        <v/>
      </c>
      <c r="D47" s="283"/>
      <c r="E47" s="330"/>
      <c r="F47" s="331"/>
      <c r="G47" s="332"/>
      <c r="H47" s="333"/>
      <c r="I47" s="331"/>
      <c r="J47" s="287"/>
      <c r="K47" s="330"/>
      <c r="L47" s="331"/>
      <c r="M47" s="334"/>
      <c r="N47" s="330"/>
      <c r="O47" s="331"/>
      <c r="P47" s="312"/>
    </row>
    <row r="48" spans="1:17" x14ac:dyDescent="0.2">
      <c r="A48" s="278">
        <f>A47+1</f>
        <v>30</v>
      </c>
      <c r="B48" s="280"/>
      <c r="C48" s="212" t="str">
        <f>IF(B48="","",VLOOKUP(B48,prezentace!A$2:E$200,5))</f>
        <v/>
      </c>
      <c r="D48" s="284"/>
      <c r="E48" s="273" t="s">
        <v>314</v>
      </c>
      <c r="F48" s="210" t="str">
        <f>IF(COUNTBLANK(D47:D48)&gt;0,"",IF(D47&gt;D48,C47,C48))</f>
        <v/>
      </c>
      <c r="G48" s="283"/>
      <c r="H48" s="333"/>
      <c r="I48" s="331"/>
      <c r="J48" s="287"/>
      <c r="K48" s="330"/>
      <c r="L48" s="331"/>
      <c r="M48" s="334"/>
      <c r="N48" s="330"/>
      <c r="O48" s="331"/>
      <c r="P48" s="312"/>
    </row>
    <row r="49" spans="1:18" x14ac:dyDescent="0.2">
      <c r="A49" s="39"/>
      <c r="B49" s="335"/>
      <c r="C49" s="331"/>
      <c r="D49" s="332"/>
      <c r="E49" s="330"/>
      <c r="F49" s="331"/>
      <c r="G49" s="287"/>
      <c r="H49" s="336" t="s">
        <v>110</v>
      </c>
      <c r="I49" s="218" t="str">
        <f>IF(COUNTBLANK(G48:G50)&gt;1,"",IF(G48&gt;G50,F48,F50))</f>
        <v/>
      </c>
      <c r="J49" s="284"/>
      <c r="K49" s="330"/>
      <c r="L49" s="331"/>
      <c r="M49" s="334"/>
      <c r="N49" s="330"/>
      <c r="O49" s="331"/>
      <c r="P49" s="312"/>
    </row>
    <row r="50" spans="1:18" x14ac:dyDescent="0.2">
      <c r="A50" s="214">
        <f>A48+1</f>
        <v>31</v>
      </c>
      <c r="B50" s="279"/>
      <c r="C50" s="210" t="str">
        <f>IF(B50="","",VLOOKUP(B50,prezentace!A$2:E$200,5))</f>
        <v/>
      </c>
      <c r="D50" s="283"/>
      <c r="E50" s="277" t="s">
        <v>314</v>
      </c>
      <c r="F50" s="212" t="str">
        <f>IF(COUNTBLANK(D50:D51)&gt;0,"",IF(D50&gt;D51,C50,C51))</f>
        <v/>
      </c>
      <c r="G50" s="284"/>
      <c r="H50" s="333"/>
      <c r="I50" s="331"/>
      <c r="J50" s="332"/>
      <c r="K50" s="330"/>
      <c r="L50" s="331"/>
      <c r="M50" s="332"/>
      <c r="N50" s="330"/>
      <c r="O50" s="331"/>
      <c r="P50" s="312"/>
    </row>
    <row r="51" spans="1:18" x14ac:dyDescent="0.2">
      <c r="A51" s="278">
        <f>A50+1</f>
        <v>32</v>
      </c>
      <c r="B51" s="280"/>
      <c r="C51" s="212" t="str">
        <f>IF(B51="","",VLOOKUP(B51,prezentace!A$2:E$200,5))</f>
        <v/>
      </c>
      <c r="D51" s="284"/>
      <c r="E51" s="330"/>
      <c r="F51" s="331"/>
      <c r="G51" s="332"/>
      <c r="H51" s="333"/>
      <c r="I51" s="331"/>
      <c r="J51" s="332"/>
      <c r="K51" s="330"/>
      <c r="L51" s="331"/>
      <c r="M51" s="334"/>
      <c r="N51" s="330"/>
      <c r="O51" s="331"/>
      <c r="P51" s="312"/>
    </row>
    <row r="52" spans="1:18" x14ac:dyDescent="0.2">
      <c r="D52" s="332"/>
      <c r="E52" s="330"/>
      <c r="F52" s="331"/>
      <c r="G52" s="332"/>
      <c r="H52" s="333"/>
      <c r="I52" s="331"/>
      <c r="J52" s="332"/>
      <c r="K52" s="330"/>
      <c r="L52" s="331"/>
      <c r="M52" s="334"/>
      <c r="N52" s="330"/>
      <c r="O52" s="331"/>
      <c r="P52" s="347"/>
      <c r="Q52" s="333"/>
      <c r="R52" s="331"/>
    </row>
    <row r="53" spans="1:18" x14ac:dyDescent="0.2">
      <c r="G53" s="295"/>
      <c r="J53" s="332"/>
      <c r="K53" s="330"/>
      <c r="L53" s="331"/>
      <c r="M53" s="332"/>
      <c r="N53" s="330"/>
      <c r="O53" s="331"/>
      <c r="P53" s="295"/>
    </row>
  </sheetData>
  <mergeCells count="9">
    <mergeCell ref="A1:R1"/>
    <mergeCell ref="A2:R2"/>
    <mergeCell ref="A3:R3"/>
    <mergeCell ref="A4:D4"/>
    <mergeCell ref="E4:G4"/>
    <mergeCell ref="H4:J4"/>
    <mergeCell ref="K4:M4"/>
    <mergeCell ref="N4:P4"/>
    <mergeCell ref="Q4:R4"/>
  </mergeCells>
  <pageMargins left="0.39370078740157483" right="0.39370078740157483" top="0.39370078740157483" bottom="0.39370078740157483" header="0.31496062992125984" footer="0.31496062992125984"/>
  <pageSetup paperSize="9" scale="70" orientation="landscape" horizontalDpi="200" verticalDpi="200" r:id="rId1"/>
  <colBreaks count="1" manualBreakCount="1">
    <brk id="18" min="2" max="122"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F83C4-7CE2-461E-B8D2-E59B0AB66877}">
  <dimension ref="A1:S123"/>
  <sheetViews>
    <sheetView showGridLines="0" view="pageBreakPreview" zoomScaleNormal="100" zoomScaleSheetLayoutView="100" workbookViewId="0">
      <selection activeCell="C2" sqref="C2:D2"/>
    </sheetView>
  </sheetViews>
  <sheetFormatPr defaultRowHeight="12.75" x14ac:dyDescent="0.2"/>
  <cols>
    <col min="1" max="1" width="6.85546875" style="363" customWidth="1"/>
    <col min="2" max="2" width="5.5703125" style="363" bestFit="1" customWidth="1"/>
    <col min="3" max="4" width="23.85546875" style="364" customWidth="1"/>
    <col min="5" max="9" width="6.5703125" style="354" customWidth="1"/>
    <col min="10" max="10" width="9.42578125" style="365" customWidth="1"/>
    <col min="11" max="11" width="5.42578125" style="353" bestFit="1" customWidth="1"/>
    <col min="12" max="12" width="21.140625" style="353" customWidth="1"/>
    <col min="13" max="13" width="15" style="353" customWidth="1"/>
    <col min="14" max="14" width="15" style="354" customWidth="1"/>
    <col min="15" max="15" width="27.140625" style="354" bestFit="1" customWidth="1"/>
    <col min="16" max="18" width="5.7109375" style="354" bestFit="1" customWidth="1"/>
    <col min="19" max="19" width="8.140625" style="365" bestFit="1" customWidth="1"/>
    <col min="20" max="16384" width="9.140625" style="354"/>
  </cols>
  <sheetData>
    <row r="1" spans="1:14" ht="14.45" customHeight="1" x14ac:dyDescent="0.2">
      <c r="A1" s="348"/>
      <c r="B1" s="349" t="s">
        <v>60</v>
      </c>
      <c r="C1" s="350" t="s">
        <v>96</v>
      </c>
      <c r="D1" s="350" t="s">
        <v>97</v>
      </c>
      <c r="E1" s="351" t="s">
        <v>162</v>
      </c>
      <c r="F1" s="351" t="s">
        <v>163</v>
      </c>
      <c r="G1" s="351" t="s">
        <v>164</v>
      </c>
      <c r="H1" s="351" t="s">
        <v>221</v>
      </c>
      <c r="I1" s="351" t="s">
        <v>220</v>
      </c>
      <c r="J1" s="352" t="s">
        <v>161</v>
      </c>
    </row>
    <row r="2" spans="1:14" ht="23.25" x14ac:dyDescent="0.2">
      <c r="A2" s="355" t="s">
        <v>326</v>
      </c>
      <c r="B2" s="356"/>
      <c r="C2" s="357"/>
      <c r="D2" s="357"/>
      <c r="E2" s="358"/>
      <c r="F2" s="359"/>
      <c r="G2" s="359"/>
      <c r="H2" s="359"/>
      <c r="I2" s="359"/>
      <c r="J2" s="360"/>
    </row>
    <row r="3" spans="1:14" ht="24" thickBot="1" x14ac:dyDescent="0.25">
      <c r="A3" s="425" t="s">
        <v>165</v>
      </c>
      <c r="B3" s="426"/>
      <c r="C3" s="361"/>
      <c r="D3" s="362" t="s">
        <v>166</v>
      </c>
      <c r="E3" s="427"/>
      <c r="F3" s="427"/>
      <c r="G3" s="427"/>
      <c r="H3" s="427"/>
      <c r="I3" s="427"/>
      <c r="J3" s="428"/>
    </row>
    <row r="4" spans="1:14" ht="13.5" thickBot="1" x14ac:dyDescent="0.25"/>
    <row r="5" spans="1:14" ht="14.45" customHeight="1" x14ac:dyDescent="0.2">
      <c r="A5" s="348"/>
      <c r="B5" s="349" t="s">
        <v>60</v>
      </c>
      <c r="C5" s="350" t="s">
        <v>96</v>
      </c>
      <c r="D5" s="350" t="s">
        <v>97</v>
      </c>
      <c r="E5" s="351" t="s">
        <v>162</v>
      </c>
      <c r="F5" s="351" t="s">
        <v>163</v>
      </c>
      <c r="G5" s="351" t="s">
        <v>164</v>
      </c>
      <c r="H5" s="351" t="s">
        <v>221</v>
      </c>
      <c r="I5" s="351" t="s">
        <v>220</v>
      </c>
      <c r="J5" s="352" t="s">
        <v>161</v>
      </c>
    </row>
    <row r="6" spans="1:14" ht="23.25" x14ac:dyDescent="0.2">
      <c r="A6" s="355" t="s">
        <v>326</v>
      </c>
      <c r="B6" s="356"/>
      <c r="C6" s="357"/>
      <c r="D6" s="357"/>
      <c r="E6" s="359"/>
      <c r="F6" s="359"/>
      <c r="G6" s="359"/>
      <c r="H6" s="359"/>
      <c r="I6" s="359"/>
      <c r="J6" s="360"/>
      <c r="N6" s="366"/>
    </row>
    <row r="7" spans="1:14" ht="24" thickBot="1" x14ac:dyDescent="0.25">
      <c r="A7" s="425" t="s">
        <v>165</v>
      </c>
      <c r="B7" s="426"/>
      <c r="C7" s="361"/>
      <c r="D7" s="362" t="s">
        <v>166</v>
      </c>
      <c r="E7" s="427"/>
      <c r="F7" s="427"/>
      <c r="G7" s="427"/>
      <c r="H7" s="427"/>
      <c r="I7" s="427"/>
      <c r="J7" s="428"/>
    </row>
    <row r="8" spans="1:14" ht="12" customHeight="1" thickBot="1" x14ac:dyDescent="0.25">
      <c r="A8" s="367"/>
    </row>
    <row r="9" spans="1:14" ht="14.45" customHeight="1" x14ac:dyDescent="0.2">
      <c r="A9" s="348"/>
      <c r="B9" s="349" t="s">
        <v>60</v>
      </c>
      <c r="C9" s="350" t="s">
        <v>96</v>
      </c>
      <c r="D9" s="350" t="s">
        <v>97</v>
      </c>
      <c r="E9" s="351" t="s">
        <v>162</v>
      </c>
      <c r="F9" s="351" t="s">
        <v>163</v>
      </c>
      <c r="G9" s="351" t="s">
        <v>164</v>
      </c>
      <c r="H9" s="351" t="s">
        <v>221</v>
      </c>
      <c r="I9" s="351" t="s">
        <v>220</v>
      </c>
      <c r="J9" s="352" t="s">
        <v>161</v>
      </c>
    </row>
    <row r="10" spans="1:14" ht="23.25" x14ac:dyDescent="0.2">
      <c r="A10" s="355" t="s">
        <v>326</v>
      </c>
      <c r="B10" s="356"/>
      <c r="C10" s="357"/>
      <c r="D10" s="357"/>
      <c r="E10" s="359"/>
      <c r="F10" s="359"/>
      <c r="G10" s="359"/>
      <c r="H10" s="359"/>
      <c r="I10" s="359"/>
      <c r="J10" s="360"/>
    </row>
    <row r="11" spans="1:14" ht="24" thickBot="1" x14ac:dyDescent="0.25">
      <c r="A11" s="425" t="s">
        <v>165</v>
      </c>
      <c r="B11" s="426"/>
      <c r="C11" s="361"/>
      <c r="D11" s="362" t="s">
        <v>166</v>
      </c>
      <c r="E11" s="427"/>
      <c r="F11" s="427"/>
      <c r="G11" s="427"/>
      <c r="H11" s="427"/>
      <c r="I11" s="427"/>
      <c r="J11" s="428"/>
    </row>
    <row r="12" spans="1:14" ht="12" customHeight="1" thickBot="1" x14ac:dyDescent="0.25"/>
    <row r="13" spans="1:14" ht="14.45" customHeight="1" x14ac:dyDescent="0.2">
      <c r="A13" s="348"/>
      <c r="B13" s="349" t="s">
        <v>60</v>
      </c>
      <c r="C13" s="350" t="s">
        <v>96</v>
      </c>
      <c r="D13" s="350" t="s">
        <v>97</v>
      </c>
      <c r="E13" s="351" t="s">
        <v>162</v>
      </c>
      <c r="F13" s="351" t="s">
        <v>163</v>
      </c>
      <c r="G13" s="351" t="s">
        <v>164</v>
      </c>
      <c r="H13" s="351" t="s">
        <v>221</v>
      </c>
      <c r="I13" s="351" t="s">
        <v>220</v>
      </c>
      <c r="J13" s="352" t="s">
        <v>161</v>
      </c>
    </row>
    <row r="14" spans="1:14" ht="23.25" x14ac:dyDescent="0.2">
      <c r="A14" s="355" t="s">
        <v>326</v>
      </c>
      <c r="B14" s="356"/>
      <c r="C14" s="357"/>
      <c r="D14" s="357"/>
      <c r="E14" s="359"/>
      <c r="F14" s="359"/>
      <c r="G14" s="359"/>
      <c r="H14" s="359"/>
      <c r="I14" s="359"/>
      <c r="J14" s="360"/>
    </row>
    <row r="15" spans="1:14" ht="24" thickBot="1" x14ac:dyDescent="0.25">
      <c r="A15" s="425" t="s">
        <v>165</v>
      </c>
      <c r="B15" s="426"/>
      <c r="C15" s="361"/>
      <c r="D15" s="362" t="s">
        <v>166</v>
      </c>
      <c r="E15" s="427"/>
      <c r="F15" s="427"/>
      <c r="G15" s="427"/>
      <c r="H15" s="427"/>
      <c r="I15" s="427"/>
      <c r="J15" s="428"/>
    </row>
    <row r="16" spans="1:14" ht="12" customHeight="1" thickBot="1" x14ac:dyDescent="0.25">
      <c r="A16" s="367"/>
    </row>
    <row r="17" spans="1:10" ht="14.45" customHeight="1" x14ac:dyDescent="0.2">
      <c r="A17" s="348"/>
      <c r="B17" s="349" t="s">
        <v>60</v>
      </c>
      <c r="C17" s="350" t="s">
        <v>96</v>
      </c>
      <c r="D17" s="350" t="s">
        <v>97</v>
      </c>
      <c r="E17" s="351" t="s">
        <v>162</v>
      </c>
      <c r="F17" s="351" t="s">
        <v>163</v>
      </c>
      <c r="G17" s="351" t="s">
        <v>164</v>
      </c>
      <c r="H17" s="351" t="s">
        <v>221</v>
      </c>
      <c r="I17" s="351" t="s">
        <v>220</v>
      </c>
      <c r="J17" s="352" t="s">
        <v>161</v>
      </c>
    </row>
    <row r="18" spans="1:10" ht="23.25" x14ac:dyDescent="0.2">
      <c r="A18" s="355" t="s">
        <v>326</v>
      </c>
      <c r="B18" s="356"/>
      <c r="C18" s="357"/>
      <c r="D18" s="357"/>
      <c r="E18" s="359"/>
      <c r="F18" s="359"/>
      <c r="G18" s="359"/>
      <c r="H18" s="359"/>
      <c r="I18" s="359"/>
      <c r="J18" s="360"/>
    </row>
    <row r="19" spans="1:10" ht="24" thickBot="1" x14ac:dyDescent="0.25">
      <c r="A19" s="425" t="s">
        <v>165</v>
      </c>
      <c r="B19" s="426"/>
      <c r="C19" s="361"/>
      <c r="D19" s="362" t="s">
        <v>166</v>
      </c>
      <c r="E19" s="427"/>
      <c r="F19" s="427"/>
      <c r="G19" s="427"/>
      <c r="H19" s="427"/>
      <c r="I19" s="427"/>
      <c r="J19" s="428"/>
    </row>
    <row r="20" spans="1:10" ht="13.5" thickBot="1" x14ac:dyDescent="0.25"/>
    <row r="21" spans="1:10" ht="14.45" customHeight="1" x14ac:dyDescent="0.2">
      <c r="A21" s="348"/>
      <c r="B21" s="349" t="s">
        <v>60</v>
      </c>
      <c r="C21" s="350" t="s">
        <v>96</v>
      </c>
      <c r="D21" s="350" t="s">
        <v>97</v>
      </c>
      <c r="E21" s="351" t="s">
        <v>162</v>
      </c>
      <c r="F21" s="351" t="s">
        <v>163</v>
      </c>
      <c r="G21" s="351" t="s">
        <v>164</v>
      </c>
      <c r="H21" s="351" t="s">
        <v>221</v>
      </c>
      <c r="I21" s="351" t="s">
        <v>220</v>
      </c>
      <c r="J21" s="352" t="s">
        <v>161</v>
      </c>
    </row>
    <row r="22" spans="1:10" ht="23.25" x14ac:dyDescent="0.2">
      <c r="A22" s="355" t="s">
        <v>326</v>
      </c>
      <c r="B22" s="356"/>
      <c r="C22" s="357"/>
      <c r="D22" s="357"/>
      <c r="E22" s="359"/>
      <c r="F22" s="359"/>
      <c r="G22" s="359"/>
      <c r="H22" s="359"/>
      <c r="I22" s="359"/>
      <c r="J22" s="360"/>
    </row>
    <row r="23" spans="1:10" ht="24" thickBot="1" x14ac:dyDescent="0.25">
      <c r="A23" s="425" t="s">
        <v>165</v>
      </c>
      <c r="B23" s="426"/>
      <c r="C23" s="361"/>
      <c r="D23" s="362" t="s">
        <v>166</v>
      </c>
      <c r="E23" s="427"/>
      <c r="F23" s="427"/>
      <c r="G23" s="427"/>
      <c r="H23" s="427"/>
      <c r="I23" s="427"/>
      <c r="J23" s="428"/>
    </row>
    <row r="24" spans="1:10" ht="12" customHeight="1" thickBot="1" x14ac:dyDescent="0.25">
      <c r="A24" s="367"/>
    </row>
    <row r="25" spans="1:10" x14ac:dyDescent="0.2">
      <c r="A25" s="348"/>
      <c r="B25" s="349" t="s">
        <v>60</v>
      </c>
      <c r="C25" s="350" t="s">
        <v>96</v>
      </c>
      <c r="D25" s="350" t="s">
        <v>97</v>
      </c>
      <c r="E25" s="351" t="s">
        <v>162</v>
      </c>
      <c r="F25" s="351" t="s">
        <v>163</v>
      </c>
      <c r="G25" s="351" t="s">
        <v>164</v>
      </c>
      <c r="H25" s="351" t="s">
        <v>221</v>
      </c>
      <c r="I25" s="351" t="s">
        <v>220</v>
      </c>
      <c r="J25" s="352" t="s">
        <v>161</v>
      </c>
    </row>
    <row r="26" spans="1:10" ht="23.25" x14ac:dyDescent="0.2">
      <c r="A26" s="355" t="s">
        <v>326</v>
      </c>
      <c r="B26" s="356"/>
      <c r="C26" s="357"/>
      <c r="D26" s="357"/>
      <c r="E26" s="358"/>
      <c r="F26" s="359"/>
      <c r="G26" s="359"/>
      <c r="H26" s="359"/>
      <c r="I26" s="359"/>
      <c r="J26" s="360"/>
    </row>
    <row r="27" spans="1:10" ht="24" thickBot="1" x14ac:dyDescent="0.25">
      <c r="A27" s="425" t="s">
        <v>165</v>
      </c>
      <c r="B27" s="426"/>
      <c r="C27" s="361"/>
      <c r="D27" s="362" t="s">
        <v>166</v>
      </c>
      <c r="E27" s="427"/>
      <c r="F27" s="427"/>
      <c r="G27" s="427"/>
      <c r="H27" s="427"/>
      <c r="I27" s="427"/>
      <c r="J27" s="428"/>
    </row>
    <row r="28" spans="1:10" ht="13.5" thickBot="1" x14ac:dyDescent="0.25"/>
    <row r="29" spans="1:10" x14ac:dyDescent="0.2">
      <c r="A29" s="348"/>
      <c r="B29" s="349" t="s">
        <v>60</v>
      </c>
      <c r="C29" s="350" t="s">
        <v>96</v>
      </c>
      <c r="D29" s="350" t="s">
        <v>97</v>
      </c>
      <c r="E29" s="351" t="s">
        <v>162</v>
      </c>
      <c r="F29" s="351" t="s">
        <v>163</v>
      </c>
      <c r="G29" s="351" t="s">
        <v>164</v>
      </c>
      <c r="H29" s="351" t="s">
        <v>221</v>
      </c>
      <c r="I29" s="351" t="s">
        <v>220</v>
      </c>
      <c r="J29" s="352" t="s">
        <v>161</v>
      </c>
    </row>
    <row r="30" spans="1:10" ht="23.25" x14ac:dyDescent="0.2">
      <c r="A30" s="355" t="s">
        <v>326</v>
      </c>
      <c r="B30" s="356"/>
      <c r="C30" s="357"/>
      <c r="D30" s="357"/>
      <c r="E30" s="359"/>
      <c r="F30" s="359"/>
      <c r="G30" s="359"/>
      <c r="H30" s="359"/>
      <c r="I30" s="359"/>
      <c r="J30" s="360"/>
    </row>
    <row r="31" spans="1:10" ht="24" thickBot="1" x14ac:dyDescent="0.25">
      <c r="A31" s="425" t="s">
        <v>165</v>
      </c>
      <c r="B31" s="426"/>
      <c r="C31" s="361"/>
      <c r="D31" s="362" t="s">
        <v>166</v>
      </c>
      <c r="E31" s="427"/>
      <c r="F31" s="427"/>
      <c r="G31" s="427"/>
      <c r="H31" s="427"/>
      <c r="I31" s="427"/>
      <c r="J31" s="428"/>
    </row>
    <row r="32" spans="1:10" ht="13.5" thickBot="1" x14ac:dyDescent="0.25">
      <c r="A32" s="367"/>
    </row>
    <row r="33" spans="1:10" x14ac:dyDescent="0.2">
      <c r="A33" s="348"/>
      <c r="B33" s="349" t="s">
        <v>60</v>
      </c>
      <c r="C33" s="350" t="s">
        <v>96</v>
      </c>
      <c r="D33" s="350" t="s">
        <v>97</v>
      </c>
      <c r="E33" s="351" t="s">
        <v>162</v>
      </c>
      <c r="F33" s="351" t="s">
        <v>163</v>
      </c>
      <c r="G33" s="351" t="s">
        <v>164</v>
      </c>
      <c r="H33" s="351" t="s">
        <v>221</v>
      </c>
      <c r="I33" s="351" t="s">
        <v>220</v>
      </c>
      <c r="J33" s="352" t="s">
        <v>161</v>
      </c>
    </row>
    <row r="34" spans="1:10" ht="23.25" x14ac:dyDescent="0.2">
      <c r="A34" s="355" t="s">
        <v>326</v>
      </c>
      <c r="B34" s="356"/>
      <c r="C34" s="357"/>
      <c r="D34" s="357"/>
      <c r="E34" s="359"/>
      <c r="F34" s="359"/>
      <c r="G34" s="359"/>
      <c r="H34" s="359"/>
      <c r="I34" s="359"/>
      <c r="J34" s="360"/>
    </row>
    <row r="35" spans="1:10" ht="24" thickBot="1" x14ac:dyDescent="0.25">
      <c r="A35" s="425" t="s">
        <v>165</v>
      </c>
      <c r="B35" s="426"/>
      <c r="C35" s="361"/>
      <c r="D35" s="362" t="s">
        <v>166</v>
      </c>
      <c r="E35" s="427"/>
      <c r="F35" s="427"/>
      <c r="G35" s="427"/>
      <c r="H35" s="427"/>
      <c r="I35" s="427"/>
      <c r="J35" s="428"/>
    </row>
    <row r="36" spans="1:10" ht="13.5" thickBot="1" x14ac:dyDescent="0.25">
      <c r="A36" s="367"/>
    </row>
    <row r="37" spans="1:10" x14ac:dyDescent="0.2">
      <c r="A37" s="348"/>
      <c r="B37" s="349" t="s">
        <v>60</v>
      </c>
      <c r="C37" s="350" t="s">
        <v>96</v>
      </c>
      <c r="D37" s="350" t="s">
        <v>97</v>
      </c>
      <c r="E37" s="351" t="s">
        <v>162</v>
      </c>
      <c r="F37" s="351" t="s">
        <v>163</v>
      </c>
      <c r="G37" s="351" t="s">
        <v>164</v>
      </c>
      <c r="H37" s="351" t="s">
        <v>221</v>
      </c>
      <c r="I37" s="351" t="s">
        <v>220</v>
      </c>
      <c r="J37" s="352" t="s">
        <v>161</v>
      </c>
    </row>
    <row r="38" spans="1:10" ht="23.25" x14ac:dyDescent="0.2">
      <c r="A38" s="355" t="s">
        <v>326</v>
      </c>
      <c r="B38" s="356"/>
      <c r="C38" s="357"/>
      <c r="D38" s="357"/>
      <c r="E38" s="359"/>
      <c r="F38" s="359"/>
      <c r="G38" s="359"/>
      <c r="H38" s="359"/>
      <c r="I38" s="359"/>
      <c r="J38" s="360"/>
    </row>
    <row r="39" spans="1:10" ht="24" thickBot="1" x14ac:dyDescent="0.25">
      <c r="A39" s="425" t="s">
        <v>165</v>
      </c>
      <c r="B39" s="426"/>
      <c r="C39" s="361"/>
      <c r="D39" s="362" t="s">
        <v>166</v>
      </c>
      <c r="E39" s="427"/>
      <c r="F39" s="427"/>
      <c r="G39" s="427"/>
      <c r="H39" s="427"/>
      <c r="I39" s="427"/>
      <c r="J39" s="428"/>
    </row>
    <row r="40" spans="1:10" ht="13.5" thickBot="1" x14ac:dyDescent="0.25">
      <c r="A40" s="367"/>
    </row>
    <row r="41" spans="1:10" x14ac:dyDescent="0.2">
      <c r="A41" s="348"/>
      <c r="B41" s="349" t="s">
        <v>60</v>
      </c>
      <c r="C41" s="350" t="s">
        <v>96</v>
      </c>
      <c r="D41" s="350" t="s">
        <v>97</v>
      </c>
      <c r="E41" s="351" t="s">
        <v>162</v>
      </c>
      <c r="F41" s="351" t="s">
        <v>163</v>
      </c>
      <c r="G41" s="351" t="s">
        <v>164</v>
      </c>
      <c r="H41" s="351" t="s">
        <v>221</v>
      </c>
      <c r="I41" s="351" t="s">
        <v>220</v>
      </c>
      <c r="J41" s="352" t="s">
        <v>161</v>
      </c>
    </row>
    <row r="42" spans="1:10" ht="23.25" x14ac:dyDescent="0.2">
      <c r="A42" s="355" t="s">
        <v>326</v>
      </c>
      <c r="B42" s="356"/>
      <c r="C42" s="357"/>
      <c r="D42" s="357"/>
      <c r="E42" s="359"/>
      <c r="F42" s="359"/>
      <c r="G42" s="359"/>
      <c r="H42" s="359"/>
      <c r="I42" s="359"/>
      <c r="J42" s="360"/>
    </row>
    <row r="43" spans="1:10" ht="24" thickBot="1" x14ac:dyDescent="0.25">
      <c r="A43" s="425" t="s">
        <v>165</v>
      </c>
      <c r="B43" s="426"/>
      <c r="C43" s="361"/>
      <c r="D43" s="362" t="s">
        <v>166</v>
      </c>
      <c r="E43" s="427"/>
      <c r="F43" s="427"/>
      <c r="G43" s="427"/>
      <c r="H43" s="427"/>
      <c r="I43" s="427"/>
      <c r="J43" s="428"/>
    </row>
    <row r="44" spans="1:10" ht="13.5" thickBot="1" x14ac:dyDescent="0.25"/>
    <row r="45" spans="1:10" x14ac:dyDescent="0.2">
      <c r="A45" s="348"/>
      <c r="B45" s="349" t="s">
        <v>60</v>
      </c>
      <c r="C45" s="350" t="s">
        <v>96</v>
      </c>
      <c r="D45" s="350" t="s">
        <v>97</v>
      </c>
      <c r="E45" s="351" t="s">
        <v>162</v>
      </c>
      <c r="F45" s="351" t="s">
        <v>163</v>
      </c>
      <c r="G45" s="351" t="s">
        <v>164</v>
      </c>
      <c r="H45" s="351" t="s">
        <v>221</v>
      </c>
      <c r="I45" s="351" t="s">
        <v>220</v>
      </c>
      <c r="J45" s="352" t="s">
        <v>161</v>
      </c>
    </row>
    <row r="46" spans="1:10" ht="23.25" x14ac:dyDescent="0.2">
      <c r="A46" s="355" t="s">
        <v>326</v>
      </c>
      <c r="B46" s="356"/>
      <c r="C46" s="357"/>
      <c r="D46" s="357"/>
      <c r="E46" s="359"/>
      <c r="F46" s="359"/>
      <c r="G46" s="359"/>
      <c r="H46" s="359"/>
      <c r="I46" s="359"/>
      <c r="J46" s="360"/>
    </row>
    <row r="47" spans="1:10" ht="24" thickBot="1" x14ac:dyDescent="0.25">
      <c r="A47" s="425" t="s">
        <v>165</v>
      </c>
      <c r="B47" s="426"/>
      <c r="C47" s="361"/>
      <c r="D47" s="362" t="s">
        <v>166</v>
      </c>
      <c r="E47" s="427"/>
      <c r="F47" s="427"/>
      <c r="G47" s="427"/>
      <c r="H47" s="427"/>
      <c r="I47" s="427"/>
      <c r="J47" s="428"/>
    </row>
    <row r="48" spans="1:10" x14ac:dyDescent="0.2">
      <c r="A48" s="348"/>
      <c r="B48" s="349" t="s">
        <v>60</v>
      </c>
      <c r="C48" s="350" t="s">
        <v>96</v>
      </c>
      <c r="D48" s="350" t="s">
        <v>97</v>
      </c>
      <c r="E48" s="351" t="s">
        <v>162</v>
      </c>
      <c r="F48" s="351" t="s">
        <v>163</v>
      </c>
      <c r="G48" s="351" t="s">
        <v>164</v>
      </c>
      <c r="H48" s="351" t="s">
        <v>221</v>
      </c>
      <c r="I48" s="351" t="s">
        <v>220</v>
      </c>
      <c r="J48" s="352" t="s">
        <v>161</v>
      </c>
    </row>
    <row r="49" spans="1:10" ht="23.25" x14ac:dyDescent="0.2">
      <c r="A49" s="355" t="s">
        <v>326</v>
      </c>
      <c r="B49" s="356"/>
      <c r="C49" s="357"/>
      <c r="D49" s="357"/>
      <c r="E49" s="358"/>
      <c r="F49" s="359"/>
      <c r="G49" s="359"/>
      <c r="H49" s="359"/>
      <c r="I49" s="359"/>
      <c r="J49" s="360"/>
    </row>
    <row r="50" spans="1:10" ht="24" thickBot="1" x14ac:dyDescent="0.25">
      <c r="A50" s="425" t="s">
        <v>165</v>
      </c>
      <c r="B50" s="426"/>
      <c r="C50" s="361"/>
      <c r="D50" s="362" t="s">
        <v>166</v>
      </c>
      <c r="E50" s="427"/>
      <c r="F50" s="427"/>
      <c r="G50" s="427"/>
      <c r="H50" s="427"/>
      <c r="I50" s="427"/>
      <c r="J50" s="428"/>
    </row>
    <row r="51" spans="1:10" ht="13.5" thickBot="1" x14ac:dyDescent="0.25"/>
    <row r="52" spans="1:10" x14ac:dyDescent="0.2">
      <c r="A52" s="348"/>
      <c r="B52" s="349" t="s">
        <v>60</v>
      </c>
      <c r="C52" s="350" t="s">
        <v>96</v>
      </c>
      <c r="D52" s="350" t="s">
        <v>97</v>
      </c>
      <c r="E52" s="351" t="s">
        <v>162</v>
      </c>
      <c r="F52" s="351" t="s">
        <v>163</v>
      </c>
      <c r="G52" s="351" t="s">
        <v>164</v>
      </c>
      <c r="H52" s="351" t="s">
        <v>221</v>
      </c>
      <c r="I52" s="351" t="s">
        <v>220</v>
      </c>
      <c r="J52" s="352" t="s">
        <v>161</v>
      </c>
    </row>
    <row r="53" spans="1:10" ht="23.25" x14ac:dyDescent="0.2">
      <c r="A53" s="355" t="s">
        <v>326</v>
      </c>
      <c r="B53" s="356"/>
      <c r="C53" s="357"/>
      <c r="D53" s="357"/>
      <c r="E53" s="359"/>
      <c r="F53" s="359"/>
      <c r="G53" s="359"/>
      <c r="H53" s="359"/>
      <c r="I53" s="359"/>
      <c r="J53" s="360"/>
    </row>
    <row r="54" spans="1:10" ht="24" thickBot="1" x14ac:dyDescent="0.25">
      <c r="A54" s="425" t="s">
        <v>165</v>
      </c>
      <c r="B54" s="426"/>
      <c r="C54" s="361"/>
      <c r="D54" s="362" t="s">
        <v>166</v>
      </c>
      <c r="E54" s="427"/>
      <c r="F54" s="427"/>
      <c r="G54" s="427"/>
      <c r="H54" s="427"/>
      <c r="I54" s="427"/>
      <c r="J54" s="428"/>
    </row>
    <row r="55" spans="1:10" ht="13.5" thickBot="1" x14ac:dyDescent="0.25">
      <c r="A55" s="367"/>
    </row>
    <row r="56" spans="1:10" x14ac:dyDescent="0.2">
      <c r="A56" s="348"/>
      <c r="B56" s="349" t="s">
        <v>60</v>
      </c>
      <c r="C56" s="350" t="s">
        <v>96</v>
      </c>
      <c r="D56" s="350" t="s">
        <v>97</v>
      </c>
      <c r="E56" s="351" t="s">
        <v>162</v>
      </c>
      <c r="F56" s="351" t="s">
        <v>163</v>
      </c>
      <c r="G56" s="351" t="s">
        <v>164</v>
      </c>
      <c r="H56" s="351" t="s">
        <v>221</v>
      </c>
      <c r="I56" s="351" t="s">
        <v>220</v>
      </c>
      <c r="J56" s="352" t="s">
        <v>161</v>
      </c>
    </row>
    <row r="57" spans="1:10" ht="23.25" x14ac:dyDescent="0.2">
      <c r="A57" s="355" t="s">
        <v>326</v>
      </c>
      <c r="B57" s="356"/>
      <c r="C57" s="357"/>
      <c r="D57" s="357"/>
      <c r="E57" s="359"/>
      <c r="F57" s="359"/>
      <c r="G57" s="359"/>
      <c r="H57" s="359"/>
      <c r="I57" s="359"/>
      <c r="J57" s="360"/>
    </row>
    <row r="58" spans="1:10" ht="24" thickBot="1" x14ac:dyDescent="0.25">
      <c r="A58" s="425" t="s">
        <v>165</v>
      </c>
      <c r="B58" s="426"/>
      <c r="C58" s="361"/>
      <c r="D58" s="362" t="s">
        <v>166</v>
      </c>
      <c r="E58" s="427"/>
      <c r="F58" s="427"/>
      <c r="G58" s="427"/>
      <c r="H58" s="427"/>
      <c r="I58" s="427"/>
      <c r="J58" s="428"/>
    </row>
    <row r="59" spans="1:10" ht="13.5" thickBot="1" x14ac:dyDescent="0.25"/>
    <row r="60" spans="1:10" x14ac:dyDescent="0.2">
      <c r="A60" s="348"/>
      <c r="B60" s="349" t="s">
        <v>60</v>
      </c>
      <c r="C60" s="350" t="s">
        <v>96</v>
      </c>
      <c r="D60" s="350" t="s">
        <v>97</v>
      </c>
      <c r="E60" s="351" t="s">
        <v>162</v>
      </c>
      <c r="F60" s="351" t="s">
        <v>163</v>
      </c>
      <c r="G60" s="351" t="s">
        <v>164</v>
      </c>
      <c r="H60" s="351" t="s">
        <v>221</v>
      </c>
      <c r="I60" s="351" t="s">
        <v>220</v>
      </c>
      <c r="J60" s="352" t="s">
        <v>161</v>
      </c>
    </row>
    <row r="61" spans="1:10" ht="23.25" x14ac:dyDescent="0.2">
      <c r="A61" s="355" t="s">
        <v>326</v>
      </c>
      <c r="B61" s="356"/>
      <c r="C61" s="357"/>
      <c r="D61" s="357"/>
      <c r="E61" s="359"/>
      <c r="F61" s="359"/>
      <c r="G61" s="359"/>
      <c r="H61" s="359"/>
      <c r="I61" s="359"/>
      <c r="J61" s="360"/>
    </row>
    <row r="62" spans="1:10" ht="24" thickBot="1" x14ac:dyDescent="0.25">
      <c r="A62" s="425" t="s">
        <v>165</v>
      </c>
      <c r="B62" s="426"/>
      <c r="C62" s="361"/>
      <c r="D62" s="362" t="s">
        <v>166</v>
      </c>
      <c r="E62" s="427"/>
      <c r="F62" s="427"/>
      <c r="G62" s="427"/>
      <c r="H62" s="427"/>
      <c r="I62" s="427"/>
      <c r="J62" s="428"/>
    </row>
    <row r="63" spans="1:10" ht="13.5" thickBot="1" x14ac:dyDescent="0.25">
      <c r="A63" s="367"/>
    </row>
    <row r="64" spans="1:10" x14ac:dyDescent="0.2">
      <c r="A64" s="348"/>
      <c r="B64" s="349" t="s">
        <v>60</v>
      </c>
      <c r="C64" s="350" t="s">
        <v>96</v>
      </c>
      <c r="D64" s="350" t="s">
        <v>97</v>
      </c>
      <c r="E64" s="351" t="s">
        <v>162</v>
      </c>
      <c r="F64" s="351" t="s">
        <v>163</v>
      </c>
      <c r="G64" s="351" t="s">
        <v>164</v>
      </c>
      <c r="H64" s="351" t="s">
        <v>221</v>
      </c>
      <c r="I64" s="351" t="s">
        <v>220</v>
      </c>
      <c r="J64" s="352" t="s">
        <v>161</v>
      </c>
    </row>
    <row r="65" spans="1:10" ht="23.25" x14ac:dyDescent="0.2">
      <c r="A65" s="355" t="str">
        <f>'B-32H-pavouk'!E6</f>
        <v>1-16</v>
      </c>
      <c r="B65" s="356"/>
      <c r="C65" s="357"/>
      <c r="D65" s="357"/>
      <c r="E65" s="359"/>
      <c r="F65" s="359"/>
      <c r="G65" s="359"/>
      <c r="H65" s="359"/>
      <c r="I65" s="359"/>
      <c r="J65" s="360"/>
    </row>
    <row r="66" spans="1:10" ht="24" thickBot="1" x14ac:dyDescent="0.25">
      <c r="A66" s="425" t="s">
        <v>165</v>
      </c>
      <c r="B66" s="426"/>
      <c r="C66" s="361"/>
      <c r="D66" s="362" t="s">
        <v>166</v>
      </c>
      <c r="E66" s="427"/>
      <c r="F66" s="427"/>
      <c r="G66" s="427"/>
      <c r="H66" s="427"/>
      <c r="I66" s="427"/>
      <c r="J66" s="428"/>
    </row>
    <row r="67" spans="1:10" ht="13.5" thickBot="1" x14ac:dyDescent="0.25"/>
    <row r="68" spans="1:10" x14ac:dyDescent="0.2">
      <c r="A68" s="348"/>
      <c r="B68" s="349" t="s">
        <v>60</v>
      </c>
      <c r="C68" s="350" t="s">
        <v>96</v>
      </c>
      <c r="D68" s="350" t="s">
        <v>97</v>
      </c>
      <c r="E68" s="351" t="s">
        <v>162</v>
      </c>
      <c r="F68" s="351" t="s">
        <v>163</v>
      </c>
      <c r="G68" s="351" t="s">
        <v>164</v>
      </c>
      <c r="H68" s="351" t="s">
        <v>221</v>
      </c>
      <c r="I68" s="351" t="s">
        <v>220</v>
      </c>
      <c r="J68" s="352" t="s">
        <v>161</v>
      </c>
    </row>
    <row r="69" spans="1:10" ht="23.25" x14ac:dyDescent="0.2">
      <c r="A69" s="355" t="str">
        <f>'B-32H-pavouk'!E12</f>
        <v>1-16</v>
      </c>
      <c r="B69" s="356"/>
      <c r="C69" s="357"/>
      <c r="D69" s="357"/>
      <c r="E69" s="359"/>
      <c r="F69" s="359"/>
      <c r="G69" s="359"/>
      <c r="H69" s="359"/>
      <c r="I69" s="359"/>
      <c r="J69" s="360"/>
    </row>
    <row r="70" spans="1:10" ht="24" thickBot="1" x14ac:dyDescent="0.25">
      <c r="A70" s="425" t="s">
        <v>165</v>
      </c>
      <c r="B70" s="426"/>
      <c r="C70" s="361"/>
      <c r="D70" s="362" t="s">
        <v>166</v>
      </c>
      <c r="E70" s="427"/>
      <c r="F70" s="427"/>
      <c r="G70" s="427"/>
      <c r="H70" s="427"/>
      <c r="I70" s="427"/>
      <c r="J70" s="428"/>
    </row>
    <row r="71" spans="1:10" ht="13.5" thickBot="1" x14ac:dyDescent="0.25">
      <c r="A71" s="367"/>
    </row>
    <row r="72" spans="1:10" x14ac:dyDescent="0.2">
      <c r="A72" s="348"/>
      <c r="B72" s="349" t="s">
        <v>60</v>
      </c>
      <c r="C72" s="350" t="s">
        <v>96</v>
      </c>
      <c r="D72" s="350" t="s">
        <v>97</v>
      </c>
      <c r="E72" s="351" t="s">
        <v>162</v>
      </c>
      <c r="F72" s="351" t="s">
        <v>163</v>
      </c>
      <c r="G72" s="351" t="s">
        <v>164</v>
      </c>
      <c r="H72" s="351" t="s">
        <v>221</v>
      </c>
      <c r="I72" s="351" t="s">
        <v>220</v>
      </c>
      <c r="J72" s="352" t="s">
        <v>161</v>
      </c>
    </row>
    <row r="73" spans="1:10" ht="23.25" x14ac:dyDescent="0.2">
      <c r="A73" s="355" t="str">
        <f>'B-32H-pavouk'!E18</f>
        <v>1-16</v>
      </c>
      <c r="B73" s="356"/>
      <c r="C73" s="357"/>
      <c r="D73" s="357"/>
      <c r="E73" s="358"/>
      <c r="F73" s="359"/>
      <c r="G73" s="359"/>
      <c r="H73" s="359"/>
      <c r="I73" s="359"/>
      <c r="J73" s="360"/>
    </row>
    <row r="74" spans="1:10" ht="24" thickBot="1" x14ac:dyDescent="0.25">
      <c r="A74" s="425" t="s">
        <v>165</v>
      </c>
      <c r="B74" s="426"/>
      <c r="C74" s="361"/>
      <c r="D74" s="362" t="s">
        <v>166</v>
      </c>
      <c r="E74" s="427"/>
      <c r="F74" s="427"/>
      <c r="G74" s="427"/>
      <c r="H74" s="427"/>
      <c r="I74" s="427"/>
      <c r="J74" s="428"/>
    </row>
    <row r="75" spans="1:10" ht="13.5" thickBot="1" x14ac:dyDescent="0.25"/>
    <row r="76" spans="1:10" x14ac:dyDescent="0.2">
      <c r="A76" s="348"/>
      <c r="B76" s="349" t="s">
        <v>60</v>
      </c>
      <c r="C76" s="350" t="s">
        <v>96</v>
      </c>
      <c r="D76" s="350" t="s">
        <v>97</v>
      </c>
      <c r="E76" s="351" t="s">
        <v>162</v>
      </c>
      <c r="F76" s="351" t="s">
        <v>163</v>
      </c>
      <c r="G76" s="351" t="s">
        <v>164</v>
      </c>
      <c r="H76" s="351" t="s">
        <v>221</v>
      </c>
      <c r="I76" s="351" t="s">
        <v>220</v>
      </c>
      <c r="J76" s="352" t="s">
        <v>161</v>
      </c>
    </row>
    <row r="77" spans="1:10" ht="23.25" x14ac:dyDescent="0.2">
      <c r="A77" s="355" t="str">
        <f>'B-32H-pavouk'!E24</f>
        <v>1-16</v>
      </c>
      <c r="B77" s="356"/>
      <c r="C77" s="357"/>
      <c r="D77" s="357"/>
      <c r="E77" s="359"/>
      <c r="F77" s="359"/>
      <c r="G77" s="359"/>
      <c r="H77" s="359"/>
      <c r="I77" s="359"/>
      <c r="J77" s="360"/>
    </row>
    <row r="78" spans="1:10" ht="24" thickBot="1" x14ac:dyDescent="0.25">
      <c r="A78" s="425" t="s">
        <v>165</v>
      </c>
      <c r="B78" s="426"/>
      <c r="C78" s="361"/>
      <c r="D78" s="362" t="s">
        <v>166</v>
      </c>
      <c r="E78" s="427"/>
      <c r="F78" s="427"/>
      <c r="G78" s="427"/>
      <c r="H78" s="427"/>
      <c r="I78" s="427"/>
      <c r="J78" s="428"/>
    </row>
    <row r="79" spans="1:10" ht="13.5" thickBot="1" x14ac:dyDescent="0.25">
      <c r="A79" s="367"/>
    </row>
    <row r="80" spans="1:10" x14ac:dyDescent="0.2">
      <c r="A80" s="348"/>
      <c r="B80" s="349" t="s">
        <v>60</v>
      </c>
      <c r="C80" s="350" t="s">
        <v>96</v>
      </c>
      <c r="D80" s="350" t="s">
        <v>97</v>
      </c>
      <c r="E80" s="351" t="s">
        <v>162</v>
      </c>
      <c r="F80" s="351" t="s">
        <v>163</v>
      </c>
      <c r="G80" s="351" t="s">
        <v>164</v>
      </c>
      <c r="H80" s="351" t="s">
        <v>221</v>
      </c>
      <c r="I80" s="351" t="s">
        <v>220</v>
      </c>
      <c r="J80" s="352" t="s">
        <v>161</v>
      </c>
    </row>
    <row r="81" spans="1:10" ht="23.25" x14ac:dyDescent="0.2">
      <c r="A81" s="355" t="str">
        <f>'B-32H-pavouk'!E30</f>
        <v>1-16</v>
      </c>
      <c r="B81" s="356"/>
      <c r="C81" s="357"/>
      <c r="D81" s="357"/>
      <c r="E81" s="359"/>
      <c r="F81" s="359"/>
      <c r="G81" s="359"/>
      <c r="H81" s="359"/>
      <c r="I81" s="359"/>
      <c r="J81" s="360"/>
    </row>
    <row r="82" spans="1:10" ht="24" thickBot="1" x14ac:dyDescent="0.25">
      <c r="A82" s="425" t="s">
        <v>165</v>
      </c>
      <c r="B82" s="426"/>
      <c r="C82" s="361"/>
      <c r="D82" s="362" t="s">
        <v>166</v>
      </c>
      <c r="E82" s="427"/>
      <c r="F82" s="427"/>
      <c r="G82" s="427"/>
      <c r="H82" s="427"/>
      <c r="I82" s="427"/>
      <c r="J82" s="428"/>
    </row>
    <row r="83" spans="1:10" ht="13.5" thickBot="1" x14ac:dyDescent="0.25">
      <c r="A83" s="367"/>
    </row>
    <row r="84" spans="1:10" x14ac:dyDescent="0.2">
      <c r="A84" s="348"/>
      <c r="B84" s="349" t="s">
        <v>60</v>
      </c>
      <c r="C84" s="350" t="s">
        <v>96</v>
      </c>
      <c r="D84" s="350" t="s">
        <v>97</v>
      </c>
      <c r="E84" s="351" t="s">
        <v>162</v>
      </c>
      <c r="F84" s="351" t="s">
        <v>163</v>
      </c>
      <c r="G84" s="351" t="s">
        <v>164</v>
      </c>
      <c r="H84" s="351" t="s">
        <v>221</v>
      </c>
      <c r="I84" s="351" t="s">
        <v>220</v>
      </c>
      <c r="J84" s="352" t="s">
        <v>161</v>
      </c>
    </row>
    <row r="85" spans="1:10" ht="23.25" x14ac:dyDescent="0.2">
      <c r="A85" s="355" t="str">
        <f>'B-32H-pavouk'!E36</f>
        <v>1-16</v>
      </c>
      <c r="B85" s="356"/>
      <c r="C85" s="357"/>
      <c r="D85" s="357"/>
      <c r="E85" s="359"/>
      <c r="F85" s="359"/>
      <c r="G85" s="359"/>
      <c r="H85" s="359"/>
      <c r="I85" s="359"/>
      <c r="J85" s="360"/>
    </row>
    <row r="86" spans="1:10" ht="24" thickBot="1" x14ac:dyDescent="0.25">
      <c r="A86" s="425" t="s">
        <v>165</v>
      </c>
      <c r="B86" s="426"/>
      <c r="C86" s="361"/>
      <c r="D86" s="362" t="s">
        <v>166</v>
      </c>
      <c r="E86" s="427"/>
      <c r="F86" s="427"/>
      <c r="G86" s="427"/>
      <c r="H86" s="427"/>
      <c r="I86" s="427"/>
      <c r="J86" s="428"/>
    </row>
    <row r="87" spans="1:10" ht="13.5" thickBot="1" x14ac:dyDescent="0.25">
      <c r="A87" s="367"/>
    </row>
    <row r="88" spans="1:10" x14ac:dyDescent="0.2">
      <c r="A88" s="348"/>
      <c r="B88" s="349" t="s">
        <v>60</v>
      </c>
      <c r="C88" s="350" t="s">
        <v>96</v>
      </c>
      <c r="D88" s="350" t="s">
        <v>97</v>
      </c>
      <c r="E88" s="351" t="s">
        <v>162</v>
      </c>
      <c r="F88" s="351" t="s">
        <v>163</v>
      </c>
      <c r="G88" s="351" t="s">
        <v>164</v>
      </c>
      <c r="H88" s="351" t="s">
        <v>221</v>
      </c>
      <c r="I88" s="351" t="s">
        <v>220</v>
      </c>
      <c r="J88" s="352" t="s">
        <v>161</v>
      </c>
    </row>
    <row r="89" spans="1:10" ht="23.25" x14ac:dyDescent="0.2">
      <c r="A89" s="355" t="str">
        <f>'B-32H-pavouk'!E42</f>
        <v>1-16</v>
      </c>
      <c r="B89" s="356"/>
      <c r="C89" s="357"/>
      <c r="D89" s="357"/>
      <c r="E89" s="359"/>
      <c r="F89" s="359"/>
      <c r="G89" s="359"/>
      <c r="H89" s="359"/>
      <c r="I89" s="359"/>
      <c r="J89" s="360"/>
    </row>
    <row r="90" spans="1:10" ht="24" thickBot="1" x14ac:dyDescent="0.25">
      <c r="A90" s="425" t="s">
        <v>165</v>
      </c>
      <c r="B90" s="426"/>
      <c r="C90" s="361"/>
      <c r="D90" s="362" t="s">
        <v>166</v>
      </c>
      <c r="E90" s="427"/>
      <c r="F90" s="427"/>
      <c r="G90" s="427"/>
      <c r="H90" s="427"/>
      <c r="I90" s="427"/>
      <c r="J90" s="428"/>
    </row>
    <row r="91" spans="1:10" ht="13.5" thickBot="1" x14ac:dyDescent="0.25"/>
    <row r="92" spans="1:10" x14ac:dyDescent="0.2">
      <c r="A92" s="348"/>
      <c r="B92" s="349" t="s">
        <v>60</v>
      </c>
      <c r="C92" s="350" t="s">
        <v>96</v>
      </c>
      <c r="D92" s="350" t="s">
        <v>97</v>
      </c>
      <c r="E92" s="351" t="s">
        <v>162</v>
      </c>
      <c r="F92" s="351" t="s">
        <v>163</v>
      </c>
      <c r="G92" s="351" t="s">
        <v>164</v>
      </c>
      <c r="H92" s="351" t="s">
        <v>221</v>
      </c>
      <c r="I92" s="351" t="s">
        <v>220</v>
      </c>
      <c r="J92" s="352" t="s">
        <v>161</v>
      </c>
    </row>
    <row r="93" spans="1:10" ht="23.25" x14ac:dyDescent="0.2">
      <c r="A93" s="355" t="str">
        <f>'B-32H-pavouk'!E48</f>
        <v>1-16</v>
      </c>
      <c r="B93" s="356"/>
      <c r="C93" s="357"/>
      <c r="D93" s="357"/>
      <c r="E93" s="359"/>
      <c r="F93" s="359"/>
      <c r="G93" s="359"/>
      <c r="H93" s="359"/>
      <c r="I93" s="359"/>
      <c r="J93" s="360"/>
    </row>
    <row r="94" spans="1:10" ht="24" thickBot="1" x14ac:dyDescent="0.25">
      <c r="A94" s="425" t="s">
        <v>165</v>
      </c>
      <c r="B94" s="426"/>
      <c r="C94" s="361"/>
      <c r="D94" s="362" t="s">
        <v>166</v>
      </c>
      <c r="E94" s="427"/>
      <c r="F94" s="427"/>
      <c r="G94" s="427"/>
      <c r="H94" s="427"/>
      <c r="I94" s="427"/>
      <c r="J94" s="428"/>
    </row>
    <row r="95" spans="1:10" ht="13.5" thickBot="1" x14ac:dyDescent="0.25">
      <c r="A95" s="367"/>
    </row>
    <row r="96" spans="1:10" x14ac:dyDescent="0.2">
      <c r="A96" s="348"/>
      <c r="B96" s="349" t="s">
        <v>60</v>
      </c>
      <c r="C96" s="350" t="s">
        <v>96</v>
      </c>
      <c r="D96" s="350" t="s">
        <v>97</v>
      </c>
      <c r="E96" s="351" t="s">
        <v>162</v>
      </c>
      <c r="F96" s="351" t="s">
        <v>163</v>
      </c>
      <c r="G96" s="351" t="s">
        <v>164</v>
      </c>
      <c r="H96" s="351" t="s">
        <v>221</v>
      </c>
      <c r="I96" s="351" t="s">
        <v>220</v>
      </c>
      <c r="J96" s="352" t="s">
        <v>161</v>
      </c>
    </row>
    <row r="97" spans="1:10" ht="23.25" x14ac:dyDescent="0.2">
      <c r="A97" s="355" t="str">
        <f>'B-32H-pavouk'!H7</f>
        <v>1-8</v>
      </c>
      <c r="B97" s="356"/>
      <c r="C97" s="357"/>
      <c r="D97" s="357"/>
      <c r="E97" s="359"/>
      <c r="F97" s="359"/>
      <c r="G97" s="359"/>
      <c r="H97" s="359"/>
      <c r="I97" s="359"/>
      <c r="J97" s="360"/>
    </row>
    <row r="98" spans="1:10" ht="24" thickBot="1" x14ac:dyDescent="0.25">
      <c r="A98" s="425" t="s">
        <v>165</v>
      </c>
      <c r="B98" s="426"/>
      <c r="C98" s="361"/>
      <c r="D98" s="362" t="s">
        <v>166</v>
      </c>
      <c r="E98" s="427"/>
      <c r="F98" s="427"/>
      <c r="G98" s="427"/>
      <c r="H98" s="427"/>
      <c r="I98" s="427"/>
      <c r="J98" s="428"/>
    </row>
    <row r="99" spans="1:10" ht="13.5" thickBot="1" x14ac:dyDescent="0.25">
      <c r="A99" s="367"/>
    </row>
    <row r="100" spans="1:10" x14ac:dyDescent="0.2">
      <c r="A100" s="348"/>
      <c r="B100" s="349" t="s">
        <v>60</v>
      </c>
      <c r="C100" s="350" t="s">
        <v>96</v>
      </c>
      <c r="D100" s="350" t="s">
        <v>97</v>
      </c>
      <c r="E100" s="351" t="s">
        <v>162</v>
      </c>
      <c r="F100" s="351" t="s">
        <v>163</v>
      </c>
      <c r="G100" s="351" t="s">
        <v>164</v>
      </c>
      <c r="H100" s="351" t="s">
        <v>221</v>
      </c>
      <c r="I100" s="351" t="s">
        <v>220</v>
      </c>
      <c r="J100" s="352" t="s">
        <v>161</v>
      </c>
    </row>
    <row r="101" spans="1:10" ht="23.25" x14ac:dyDescent="0.2">
      <c r="A101" s="355" t="str">
        <f>'B-32H-pavouk'!H19</f>
        <v>1-8</v>
      </c>
      <c r="B101" s="356"/>
      <c r="C101" s="357"/>
      <c r="D101" s="357"/>
      <c r="E101" s="359"/>
      <c r="F101" s="359"/>
      <c r="G101" s="359"/>
      <c r="H101" s="359"/>
      <c r="I101" s="359"/>
      <c r="J101" s="360"/>
    </row>
    <row r="102" spans="1:10" ht="24" thickBot="1" x14ac:dyDescent="0.25">
      <c r="A102" s="425" t="s">
        <v>165</v>
      </c>
      <c r="B102" s="426"/>
      <c r="C102" s="361"/>
      <c r="D102" s="362" t="s">
        <v>166</v>
      </c>
      <c r="E102" s="427"/>
      <c r="F102" s="427"/>
      <c r="G102" s="427"/>
      <c r="H102" s="427"/>
      <c r="I102" s="427"/>
      <c r="J102" s="428"/>
    </row>
    <row r="103" spans="1:10" ht="13.5" thickBot="1" x14ac:dyDescent="0.25">
      <c r="A103" s="367"/>
    </row>
    <row r="104" spans="1:10" x14ac:dyDescent="0.2">
      <c r="A104" s="348"/>
      <c r="B104" s="349" t="s">
        <v>60</v>
      </c>
      <c r="C104" s="350" t="s">
        <v>96</v>
      </c>
      <c r="D104" s="350" t="s">
        <v>97</v>
      </c>
      <c r="E104" s="351" t="s">
        <v>162</v>
      </c>
      <c r="F104" s="351" t="s">
        <v>163</v>
      </c>
      <c r="G104" s="351" t="s">
        <v>164</v>
      </c>
      <c r="H104" s="351" t="s">
        <v>221</v>
      </c>
      <c r="I104" s="351" t="s">
        <v>220</v>
      </c>
      <c r="J104" s="352" t="s">
        <v>161</v>
      </c>
    </row>
    <row r="105" spans="1:10" ht="23.25" x14ac:dyDescent="0.2">
      <c r="A105" s="355" t="str">
        <f>'B-32H-pavouk'!H31</f>
        <v>1-8</v>
      </c>
      <c r="B105" s="356"/>
      <c r="C105" s="357"/>
      <c r="D105" s="357"/>
      <c r="E105" s="359"/>
      <c r="F105" s="359"/>
      <c r="G105" s="359"/>
      <c r="H105" s="359"/>
      <c r="I105" s="359"/>
      <c r="J105" s="360"/>
    </row>
    <row r="106" spans="1:10" ht="24" thickBot="1" x14ac:dyDescent="0.25">
      <c r="A106" s="425" t="s">
        <v>165</v>
      </c>
      <c r="B106" s="426"/>
      <c r="C106" s="361"/>
      <c r="D106" s="362" t="s">
        <v>166</v>
      </c>
      <c r="E106" s="427"/>
      <c r="F106" s="427"/>
      <c r="G106" s="427"/>
      <c r="H106" s="427"/>
      <c r="I106" s="427"/>
      <c r="J106" s="428"/>
    </row>
    <row r="107" spans="1:10" ht="13.5" thickBot="1" x14ac:dyDescent="0.25"/>
    <row r="108" spans="1:10" x14ac:dyDescent="0.2">
      <c r="A108" s="348"/>
      <c r="B108" s="349" t="s">
        <v>60</v>
      </c>
      <c r="C108" s="350" t="s">
        <v>96</v>
      </c>
      <c r="D108" s="350" t="s">
        <v>97</v>
      </c>
      <c r="E108" s="351" t="s">
        <v>162</v>
      </c>
      <c r="F108" s="351" t="s">
        <v>163</v>
      </c>
      <c r="G108" s="351" t="s">
        <v>164</v>
      </c>
      <c r="H108" s="351" t="s">
        <v>221</v>
      </c>
      <c r="I108" s="351" t="s">
        <v>220</v>
      </c>
      <c r="J108" s="352" t="s">
        <v>161</v>
      </c>
    </row>
    <row r="109" spans="1:10" ht="23.25" x14ac:dyDescent="0.2">
      <c r="A109" s="355" t="str">
        <f>'B-32H-pavouk'!H43</f>
        <v>1-8</v>
      </c>
      <c r="B109" s="356"/>
      <c r="C109" s="357"/>
      <c r="D109" s="357"/>
      <c r="E109" s="359"/>
      <c r="F109" s="359"/>
      <c r="G109" s="359"/>
      <c r="H109" s="359"/>
      <c r="I109" s="359"/>
      <c r="J109" s="360"/>
    </row>
    <row r="110" spans="1:10" ht="24" thickBot="1" x14ac:dyDescent="0.25">
      <c r="A110" s="425" t="s">
        <v>165</v>
      </c>
      <c r="B110" s="426"/>
      <c r="C110" s="361"/>
      <c r="D110" s="362" t="s">
        <v>166</v>
      </c>
      <c r="E110" s="427"/>
      <c r="F110" s="427"/>
      <c r="G110" s="427"/>
      <c r="H110" s="427"/>
      <c r="I110" s="427"/>
      <c r="J110" s="428"/>
    </row>
    <row r="111" spans="1:10" ht="13.5" thickBot="1" x14ac:dyDescent="0.25">
      <c r="A111" s="367"/>
    </row>
    <row r="112" spans="1:10" x14ac:dyDescent="0.2">
      <c r="A112" s="348"/>
      <c r="B112" s="349" t="s">
        <v>60</v>
      </c>
      <c r="C112" s="350" t="s">
        <v>96</v>
      </c>
      <c r="D112" s="350" t="s">
        <v>97</v>
      </c>
      <c r="E112" s="351" t="s">
        <v>162</v>
      </c>
      <c r="F112" s="351" t="s">
        <v>163</v>
      </c>
      <c r="G112" s="351" t="s">
        <v>164</v>
      </c>
      <c r="H112" s="351" t="s">
        <v>221</v>
      </c>
      <c r="I112" s="351" t="s">
        <v>220</v>
      </c>
      <c r="J112" s="352" t="s">
        <v>161</v>
      </c>
    </row>
    <row r="113" spans="1:10" ht="23.25" x14ac:dyDescent="0.2">
      <c r="A113" s="355" t="str">
        <f>'B-32H-pavouk'!K10</f>
        <v>1-4</v>
      </c>
      <c r="B113" s="356"/>
      <c r="C113" s="357"/>
      <c r="D113" s="357"/>
      <c r="E113" s="359"/>
      <c r="F113" s="359"/>
      <c r="G113" s="359"/>
      <c r="H113" s="359"/>
      <c r="I113" s="359"/>
      <c r="J113" s="360"/>
    </row>
    <row r="114" spans="1:10" ht="24" thickBot="1" x14ac:dyDescent="0.25">
      <c r="A114" s="425" t="s">
        <v>165</v>
      </c>
      <c r="B114" s="426"/>
      <c r="C114" s="361"/>
      <c r="D114" s="362" t="s">
        <v>166</v>
      </c>
      <c r="E114" s="427"/>
      <c r="F114" s="427"/>
      <c r="G114" s="427"/>
      <c r="H114" s="427"/>
      <c r="I114" s="427"/>
      <c r="J114" s="428"/>
    </row>
    <row r="115" spans="1:10" ht="13.5" thickBot="1" x14ac:dyDescent="0.25"/>
    <row r="116" spans="1:10" x14ac:dyDescent="0.2">
      <c r="A116" s="348"/>
      <c r="B116" s="349" t="s">
        <v>60</v>
      </c>
      <c r="C116" s="350" t="s">
        <v>96</v>
      </c>
      <c r="D116" s="350" t="s">
        <v>97</v>
      </c>
      <c r="E116" s="351" t="s">
        <v>162</v>
      </c>
      <c r="F116" s="351" t="s">
        <v>163</v>
      </c>
      <c r="G116" s="351" t="s">
        <v>164</v>
      </c>
      <c r="H116" s="351" t="s">
        <v>221</v>
      </c>
      <c r="I116" s="351" t="s">
        <v>220</v>
      </c>
      <c r="J116" s="352" t="s">
        <v>161</v>
      </c>
    </row>
    <row r="117" spans="1:10" ht="23.25" x14ac:dyDescent="0.2">
      <c r="A117" s="355" t="str">
        <f>'B-32H-pavouk'!K34</f>
        <v>1-4</v>
      </c>
      <c r="B117" s="356"/>
      <c r="C117" s="357"/>
      <c r="D117" s="357"/>
      <c r="E117" s="359"/>
      <c r="F117" s="359"/>
      <c r="G117" s="359"/>
      <c r="H117" s="359"/>
      <c r="I117" s="359"/>
      <c r="J117" s="360"/>
    </row>
    <row r="118" spans="1:10" ht="24" thickBot="1" x14ac:dyDescent="0.25">
      <c r="A118" s="425" t="s">
        <v>165</v>
      </c>
      <c r="B118" s="426"/>
      <c r="C118" s="361"/>
      <c r="D118" s="362" t="s">
        <v>166</v>
      </c>
      <c r="E118" s="427"/>
      <c r="F118" s="427"/>
      <c r="G118" s="427"/>
      <c r="H118" s="427"/>
      <c r="I118" s="427"/>
      <c r="J118" s="428"/>
    </row>
    <row r="119" spans="1:10" ht="13.5" thickBot="1" x14ac:dyDescent="0.25"/>
    <row r="120" spans="1:10" x14ac:dyDescent="0.2">
      <c r="A120" s="348"/>
      <c r="B120" s="349" t="s">
        <v>60</v>
      </c>
      <c r="C120" s="350" t="s">
        <v>96</v>
      </c>
      <c r="D120" s="350" t="s">
        <v>97</v>
      </c>
      <c r="E120" s="351" t="s">
        <v>162</v>
      </c>
      <c r="F120" s="351" t="s">
        <v>163</v>
      </c>
      <c r="G120" s="351" t="s">
        <v>164</v>
      </c>
      <c r="H120" s="351" t="s">
        <v>221</v>
      </c>
      <c r="I120" s="351" t="s">
        <v>220</v>
      </c>
      <c r="J120" s="352" t="s">
        <v>161</v>
      </c>
    </row>
    <row r="121" spans="1:10" ht="23.25" x14ac:dyDescent="0.2">
      <c r="A121" s="355" t="str">
        <f>'B-32H-pavouk'!N16</f>
        <v>1-2</v>
      </c>
      <c r="B121" s="356"/>
      <c r="C121" s="357"/>
      <c r="D121" s="357"/>
      <c r="E121" s="359"/>
      <c r="F121" s="359"/>
      <c r="G121" s="359"/>
      <c r="H121" s="359"/>
      <c r="I121" s="359"/>
      <c r="J121" s="360"/>
    </row>
    <row r="122" spans="1:10" ht="24" thickBot="1" x14ac:dyDescent="0.25">
      <c r="A122" s="425" t="s">
        <v>165</v>
      </c>
      <c r="B122" s="426"/>
      <c r="C122" s="361"/>
      <c r="D122" s="362" t="s">
        <v>166</v>
      </c>
      <c r="E122" s="427"/>
      <c r="F122" s="427"/>
      <c r="G122" s="427"/>
      <c r="H122" s="427"/>
      <c r="I122" s="427"/>
      <c r="J122" s="428"/>
    </row>
    <row r="123" spans="1:10" x14ac:dyDescent="0.2">
      <c r="A123" s="367"/>
    </row>
  </sheetData>
  <mergeCells count="62">
    <mergeCell ref="A122:B122"/>
    <mergeCell ref="E122:J122"/>
    <mergeCell ref="A110:B110"/>
    <mergeCell ref="E110:J110"/>
    <mergeCell ref="A114:B114"/>
    <mergeCell ref="E114:J114"/>
    <mergeCell ref="A118:B118"/>
    <mergeCell ref="E118:J118"/>
    <mergeCell ref="A98:B98"/>
    <mergeCell ref="E98:J98"/>
    <mergeCell ref="A102:B102"/>
    <mergeCell ref="E102:J102"/>
    <mergeCell ref="A106:B106"/>
    <mergeCell ref="E106:J106"/>
    <mergeCell ref="A86:B86"/>
    <mergeCell ref="E86:J86"/>
    <mergeCell ref="A90:B90"/>
    <mergeCell ref="E90:J90"/>
    <mergeCell ref="A94:B94"/>
    <mergeCell ref="E94:J94"/>
    <mergeCell ref="A62:B62"/>
    <mergeCell ref="E62:J62"/>
    <mergeCell ref="A66:B66"/>
    <mergeCell ref="E66:J66"/>
    <mergeCell ref="A70:B70"/>
    <mergeCell ref="E70:J70"/>
    <mergeCell ref="A74:B74"/>
    <mergeCell ref="E74:J74"/>
    <mergeCell ref="A78:B78"/>
    <mergeCell ref="E78:J78"/>
    <mergeCell ref="A82:B82"/>
    <mergeCell ref="E82:J82"/>
    <mergeCell ref="A39:B39"/>
    <mergeCell ref="E39:J39"/>
    <mergeCell ref="A43:B43"/>
    <mergeCell ref="E43:J43"/>
    <mergeCell ref="A47:B47"/>
    <mergeCell ref="E47:J47"/>
    <mergeCell ref="A50:B50"/>
    <mergeCell ref="E50:J50"/>
    <mergeCell ref="A54:B54"/>
    <mergeCell ref="E54:J54"/>
    <mergeCell ref="A58:B58"/>
    <mergeCell ref="E58:J58"/>
    <mergeCell ref="A15:B15"/>
    <mergeCell ref="E15:J15"/>
    <mergeCell ref="A19:B19"/>
    <mergeCell ref="E19:J19"/>
    <mergeCell ref="A23:B23"/>
    <mergeCell ref="E23:J23"/>
    <mergeCell ref="A27:B27"/>
    <mergeCell ref="E27:J27"/>
    <mergeCell ref="A31:B31"/>
    <mergeCell ref="E31:J31"/>
    <mergeCell ref="A35:B35"/>
    <mergeCell ref="E35:J35"/>
    <mergeCell ref="A3:B3"/>
    <mergeCell ref="E3:J3"/>
    <mergeCell ref="A7:B7"/>
    <mergeCell ref="E7:J7"/>
    <mergeCell ref="A11:B11"/>
    <mergeCell ref="E11:J11"/>
  </mergeCells>
  <printOptions horizontalCentered="1" verticalCentered="1"/>
  <pageMargins left="0.19685039370078741" right="0.19685039370078741" top="0.19685039370078741" bottom="0.19685039370078741" header="0" footer="0.51181102362204722"/>
  <pageSetup paperSize="9" scale="92" orientation="portrait" horizontalDpi="360" verticalDpi="360" r:id="rId1"/>
  <headerFooter alignWithMargins="0">
    <oddHeader>&amp;C1. stupeň</oddHeader>
  </headerFooter>
  <rowBreaks count="1" manualBreakCount="1">
    <brk id="47"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D9FD-2AE9-422B-A3CD-C8F4BF1919BE}">
  <dimension ref="A1:R53"/>
  <sheetViews>
    <sheetView view="pageBreakPreview" zoomScaleNormal="100" zoomScaleSheetLayoutView="100" workbookViewId="0">
      <selection activeCell="C2" sqref="C2:D2"/>
    </sheetView>
  </sheetViews>
  <sheetFormatPr defaultRowHeight="12.75" x14ac:dyDescent="0.2"/>
  <cols>
    <col min="1" max="1" width="3.7109375" customWidth="1"/>
    <col min="2" max="2" width="5" bestFit="1" customWidth="1"/>
    <col min="3" max="3" width="24.7109375" customWidth="1"/>
    <col min="4" max="4" width="3.7109375" customWidth="1"/>
    <col min="5" max="5" width="5" style="228" bestFit="1" customWidth="1"/>
    <col min="6" max="6" width="24.7109375" customWidth="1"/>
    <col min="7" max="7" width="3.7109375" customWidth="1"/>
    <col min="8" max="8" width="5" style="228" bestFit="1" customWidth="1"/>
    <col min="9" max="9" width="24.7109375" customWidth="1"/>
    <col min="10" max="10" width="3.7109375" customWidth="1"/>
    <col min="11" max="11" width="5" style="228" bestFit="1" customWidth="1"/>
    <col min="12" max="12" width="24.7109375" customWidth="1"/>
    <col min="13" max="13" width="3.7109375" customWidth="1"/>
    <col min="14" max="14" width="5" style="228" bestFit="1" customWidth="1"/>
    <col min="15" max="15" width="24.7109375" customWidth="1"/>
    <col min="16" max="16" width="3.7109375" customWidth="1"/>
    <col min="17" max="17" width="3.7109375" style="228" customWidth="1"/>
    <col min="18" max="18" width="28.42578125" customWidth="1"/>
    <col min="19" max="19" width="3.7109375" customWidth="1"/>
    <col min="20" max="20" width="24.7109375" customWidth="1"/>
  </cols>
  <sheetData>
    <row r="1" spans="1:18" ht="15" x14ac:dyDescent="0.2">
      <c r="A1" s="433" t="s">
        <v>591</v>
      </c>
      <c r="B1" s="433"/>
      <c r="C1" s="433"/>
      <c r="D1" s="433"/>
      <c r="E1" s="433"/>
      <c r="F1" s="433"/>
      <c r="G1" s="433"/>
      <c r="H1" s="433"/>
      <c r="I1" s="433"/>
      <c r="J1" s="433"/>
      <c r="K1" s="433"/>
      <c r="L1" s="433"/>
      <c r="M1" s="433"/>
      <c r="N1" s="433"/>
      <c r="O1" s="433"/>
      <c r="P1" s="433"/>
      <c r="Q1" s="433"/>
      <c r="R1" s="433"/>
    </row>
    <row r="2" spans="1:18" ht="15" x14ac:dyDescent="0.2">
      <c r="A2" s="433" t="s">
        <v>622</v>
      </c>
      <c r="B2" s="433"/>
      <c r="C2" s="433"/>
      <c r="D2" s="433"/>
      <c r="E2" s="433"/>
      <c r="F2" s="433"/>
      <c r="G2" s="433"/>
      <c r="H2" s="433"/>
      <c r="I2" s="433"/>
      <c r="J2" s="433"/>
      <c r="K2" s="433"/>
      <c r="L2" s="433"/>
      <c r="M2" s="433"/>
      <c r="N2" s="433"/>
      <c r="O2" s="433"/>
      <c r="P2" s="433"/>
      <c r="Q2" s="433"/>
      <c r="R2" s="433"/>
    </row>
    <row r="3" spans="1:18" ht="15" x14ac:dyDescent="0.2">
      <c r="A3" s="433"/>
      <c r="B3" s="433"/>
      <c r="C3" s="433"/>
      <c r="D3" s="433"/>
      <c r="E3" s="433"/>
      <c r="F3" s="433"/>
      <c r="G3" s="433"/>
      <c r="H3" s="433"/>
      <c r="I3" s="433"/>
      <c r="J3" s="433"/>
      <c r="K3" s="433"/>
      <c r="L3" s="433"/>
      <c r="M3" s="433"/>
      <c r="N3" s="433"/>
      <c r="O3" s="433"/>
      <c r="P3" s="433"/>
      <c r="Q3" s="433"/>
      <c r="R3" s="433"/>
    </row>
    <row r="4" spans="1:18" x14ac:dyDescent="0.2">
      <c r="A4" s="434" t="s">
        <v>222</v>
      </c>
      <c r="B4" s="434"/>
      <c r="C4" s="434"/>
      <c r="D4" s="434"/>
      <c r="E4" s="437" t="s">
        <v>223</v>
      </c>
      <c r="F4" s="437"/>
      <c r="G4" s="437"/>
      <c r="H4" s="436" t="s">
        <v>226</v>
      </c>
      <c r="I4" s="436"/>
      <c r="J4" s="436"/>
      <c r="K4" s="436" t="s">
        <v>227</v>
      </c>
      <c r="L4" s="436"/>
      <c r="M4" s="436"/>
      <c r="N4" s="436" t="s">
        <v>225</v>
      </c>
      <c r="O4" s="436"/>
      <c r="P4" s="436"/>
      <c r="Q4" s="436" t="s">
        <v>224</v>
      </c>
      <c r="R4" s="436"/>
    </row>
    <row r="5" spans="1:18" x14ac:dyDescent="0.2">
      <c r="A5" s="214">
        <v>1</v>
      </c>
      <c r="B5" s="279"/>
      <c r="C5" s="210" t="str">
        <f>IF(B5="","",VLOOKUP(B5,prezentace!A$2:E$200,5))</f>
        <v/>
      </c>
      <c r="D5" s="283"/>
      <c r="E5" s="330"/>
      <c r="F5" s="331"/>
      <c r="G5" s="332"/>
      <c r="H5" s="333"/>
      <c r="I5" s="331"/>
      <c r="J5" s="332"/>
      <c r="K5" s="330"/>
      <c r="L5" s="331"/>
      <c r="M5" s="334"/>
      <c r="N5" s="330"/>
      <c r="O5" s="331"/>
      <c r="P5" s="312"/>
    </row>
    <row r="6" spans="1:18" x14ac:dyDescent="0.2">
      <c r="A6" s="278">
        <f>A5+1</f>
        <v>2</v>
      </c>
      <c r="B6" s="280"/>
      <c r="C6" s="212" t="str">
        <f>IF(B6="","",VLOOKUP(B6,prezentace!A$2:E$200,5))</f>
        <v/>
      </c>
      <c r="D6" s="284"/>
      <c r="E6" s="273" t="s">
        <v>624</v>
      </c>
      <c r="F6" s="210" t="str">
        <f>IF(COUNTBLANK(D5:D6)&gt;0,"",IF(D5&gt;D6,C5,C6))</f>
        <v/>
      </c>
      <c r="G6" s="283"/>
      <c r="H6" s="333"/>
      <c r="I6" s="331"/>
      <c r="J6" s="332"/>
      <c r="K6" s="330"/>
      <c r="L6" s="331"/>
      <c r="M6" s="334"/>
      <c r="N6" s="330"/>
      <c r="O6" s="331"/>
      <c r="P6" s="312"/>
    </row>
    <row r="7" spans="1:18" x14ac:dyDescent="0.2">
      <c r="A7" s="39"/>
      <c r="B7" s="335"/>
      <c r="C7" s="331"/>
      <c r="D7" s="332"/>
      <c r="E7" s="330"/>
      <c r="F7" s="331"/>
      <c r="G7" s="287"/>
      <c r="H7" s="336" t="s">
        <v>625</v>
      </c>
      <c r="I7" s="218" t="str">
        <f>IF(COUNTBLANK(G6:G8)&gt;1,"",IF(G6&gt;G8,F6,F8))</f>
        <v/>
      </c>
      <c r="J7" s="283"/>
      <c r="K7" s="330"/>
      <c r="L7" s="331"/>
      <c r="M7" s="332"/>
      <c r="N7" s="330"/>
      <c r="O7" s="331"/>
      <c r="P7" s="312"/>
    </row>
    <row r="8" spans="1:18" x14ac:dyDescent="0.2">
      <c r="A8" s="214">
        <f>A6+1</f>
        <v>3</v>
      </c>
      <c r="B8" s="279"/>
      <c r="C8" s="210" t="str">
        <f>IF(B8="","",VLOOKUP(B8,prezentace!A$2:E$200,5))</f>
        <v/>
      </c>
      <c r="D8" s="283"/>
      <c r="E8" s="277" t="s">
        <v>624</v>
      </c>
      <c r="F8" s="212" t="str">
        <f>IF(COUNTBLANK(D8:D9)&gt;0,"",IF(D8&gt;D9,C8,C9))</f>
        <v/>
      </c>
      <c r="G8" s="284"/>
      <c r="H8" s="333"/>
      <c r="I8" s="331"/>
      <c r="J8" s="287"/>
      <c r="K8" s="330"/>
      <c r="L8" s="331"/>
      <c r="M8" s="334"/>
      <c r="N8" s="330"/>
      <c r="O8" s="331"/>
      <c r="P8" s="312"/>
    </row>
    <row r="9" spans="1:18" x14ac:dyDescent="0.2">
      <c r="A9" s="278">
        <f>A8+1</f>
        <v>4</v>
      </c>
      <c r="B9" s="280"/>
      <c r="C9" s="212" t="str">
        <f>IF(B9="","",VLOOKUP(B9,prezentace!A$2:E$200,5))</f>
        <v/>
      </c>
      <c r="D9" s="284"/>
      <c r="E9" s="330"/>
      <c r="F9" s="331"/>
      <c r="G9" s="332"/>
      <c r="H9" s="333"/>
      <c r="I9" s="331"/>
      <c r="J9" s="287"/>
      <c r="K9" s="330"/>
      <c r="L9" s="331"/>
      <c r="M9" s="334"/>
      <c r="N9" s="330"/>
      <c r="O9" s="331"/>
      <c r="P9" s="312"/>
    </row>
    <row r="10" spans="1:18" x14ac:dyDescent="0.2">
      <c r="A10" s="39"/>
      <c r="B10" s="335"/>
      <c r="C10" s="331"/>
      <c r="D10" s="332"/>
      <c r="E10" s="330"/>
      <c r="F10" s="331"/>
      <c r="G10" s="332"/>
      <c r="H10" s="333"/>
      <c r="I10" s="331"/>
      <c r="J10" s="287"/>
      <c r="K10" s="336" t="s">
        <v>626</v>
      </c>
      <c r="L10" s="218" t="str">
        <f>IF(COUNTBLANK(J7:J13)&gt;5,"",IF(J7&gt;J13,I7,I13))</f>
        <v/>
      </c>
      <c r="M10" s="283"/>
      <c r="N10" s="330"/>
      <c r="O10" s="331"/>
      <c r="P10" s="312"/>
    </row>
    <row r="11" spans="1:18" x14ac:dyDescent="0.2">
      <c r="A11" s="214">
        <f>A9+1</f>
        <v>5</v>
      </c>
      <c r="B11" s="279"/>
      <c r="C11" s="210" t="str">
        <f>IF(B11="","",VLOOKUP(B11,prezentace!A$2:E$200,5))</f>
        <v/>
      </c>
      <c r="D11" s="283"/>
      <c r="E11" s="330"/>
      <c r="F11" s="331"/>
      <c r="G11" s="332"/>
      <c r="H11" s="333"/>
      <c r="I11" s="331"/>
      <c r="J11" s="287"/>
      <c r="K11" s="330"/>
      <c r="L11" s="331"/>
      <c r="M11" s="337"/>
      <c r="N11" s="330"/>
      <c r="O11" s="331"/>
      <c r="P11" s="312"/>
    </row>
    <row r="12" spans="1:18" x14ac:dyDescent="0.2">
      <c r="A12" s="278">
        <f>A11+1</f>
        <v>6</v>
      </c>
      <c r="B12" s="280"/>
      <c r="C12" s="212" t="str">
        <f>IF(B12="","",VLOOKUP(B12,prezentace!A$2:E$200,5))</f>
        <v/>
      </c>
      <c r="D12" s="284"/>
      <c r="E12" s="273" t="s">
        <v>624</v>
      </c>
      <c r="F12" s="210" t="str">
        <f>IF(COUNTBLANK(D11:D12)&gt;0,"",IF(D11&gt;D12,C11,C12))</f>
        <v/>
      </c>
      <c r="G12" s="283"/>
      <c r="H12" s="333"/>
      <c r="I12" s="331"/>
      <c r="J12" s="287"/>
      <c r="K12" s="330"/>
      <c r="L12" s="331"/>
      <c r="M12" s="337"/>
      <c r="N12" s="330"/>
      <c r="O12" s="331"/>
      <c r="P12" s="312"/>
    </row>
    <row r="13" spans="1:18" x14ac:dyDescent="0.2">
      <c r="A13" s="39"/>
      <c r="B13" s="335"/>
      <c r="C13" s="331"/>
      <c r="D13" s="332"/>
      <c r="E13" s="330"/>
      <c r="F13" s="331"/>
      <c r="G13" s="287"/>
      <c r="H13" s="336" t="s">
        <v>625</v>
      </c>
      <c r="I13" s="218" t="str">
        <f>IF(COUNTBLANK(G12:G14)&gt;1,"",IF(G12&gt;G14,F12,F14))</f>
        <v/>
      </c>
      <c r="J13" s="284"/>
      <c r="K13" s="330"/>
      <c r="L13" s="338"/>
      <c r="M13" s="287"/>
      <c r="N13" s="330"/>
      <c r="O13" s="331"/>
      <c r="P13" s="312"/>
    </row>
    <row r="14" spans="1:18" x14ac:dyDescent="0.2">
      <c r="A14" s="214">
        <f>A12+1</f>
        <v>7</v>
      </c>
      <c r="B14" s="279"/>
      <c r="C14" s="210" t="str">
        <f>IF(B14="","",VLOOKUP(B14,prezentace!A$2:E$200,5))</f>
        <v/>
      </c>
      <c r="D14" s="283"/>
      <c r="E14" s="277" t="s">
        <v>624</v>
      </c>
      <c r="F14" s="212" t="str">
        <f>IF(COUNTBLANK(D14:D15)&gt;0,"",IF(D14&gt;D15,C14,C15))</f>
        <v/>
      </c>
      <c r="G14" s="284"/>
      <c r="H14" s="333"/>
      <c r="I14" s="331"/>
      <c r="J14" s="332"/>
      <c r="K14" s="330"/>
      <c r="L14" s="331"/>
      <c r="M14" s="337"/>
      <c r="N14" s="330"/>
      <c r="O14" s="331"/>
      <c r="P14" s="312"/>
    </row>
    <row r="15" spans="1:18" x14ac:dyDescent="0.2">
      <c r="A15" s="278">
        <f>A14+1</f>
        <v>8</v>
      </c>
      <c r="B15" s="280"/>
      <c r="C15" s="212" t="str">
        <f>IF(B15="","",VLOOKUP(B15,prezentace!A$2:E$200,5))</f>
        <v/>
      </c>
      <c r="D15" s="284"/>
      <c r="E15" s="330"/>
      <c r="F15" s="331"/>
      <c r="G15" s="332"/>
      <c r="H15" s="333"/>
      <c r="I15" s="331"/>
      <c r="J15" s="332"/>
      <c r="K15" s="330"/>
      <c r="L15" s="331"/>
      <c r="M15" s="339"/>
      <c r="N15" s="340"/>
      <c r="O15" s="331"/>
      <c r="P15" s="312"/>
    </row>
    <row r="16" spans="1:18" x14ac:dyDescent="0.2">
      <c r="A16" s="32"/>
      <c r="B16" s="341"/>
      <c r="C16" s="331"/>
      <c r="D16" s="332"/>
      <c r="E16" s="330"/>
      <c r="F16" s="331"/>
      <c r="G16" s="332"/>
      <c r="H16" s="333"/>
      <c r="I16" s="331"/>
      <c r="J16" s="332"/>
      <c r="K16" s="330"/>
      <c r="L16" s="331"/>
      <c r="M16" s="339"/>
      <c r="N16" s="336" t="s">
        <v>627</v>
      </c>
      <c r="O16" s="218" t="str">
        <f>IF(COUNTBLANK(M10:M22)&gt;11,"",IF(M10&gt;M22,L10,L22))</f>
        <v/>
      </c>
      <c r="P16" s="313"/>
      <c r="Q16" s="342"/>
    </row>
    <row r="17" spans="1:18" x14ac:dyDescent="0.2">
      <c r="A17" s="214">
        <f>A15+1</f>
        <v>9</v>
      </c>
      <c r="B17" s="279"/>
      <c r="C17" s="210" t="str">
        <f>IF(B17="","",VLOOKUP(B17,prezentace!A$2:E$200,5))</f>
        <v/>
      </c>
      <c r="D17" s="283"/>
      <c r="E17" s="330"/>
      <c r="F17" s="331"/>
      <c r="G17" s="332"/>
      <c r="H17" s="333"/>
      <c r="I17" s="331"/>
      <c r="J17" s="332"/>
      <c r="K17" s="330"/>
      <c r="L17" s="331"/>
      <c r="M17" s="337"/>
      <c r="N17" s="330"/>
      <c r="O17" s="331"/>
      <c r="P17" s="314"/>
    </row>
    <row r="18" spans="1:18" x14ac:dyDescent="0.2">
      <c r="A18" s="278">
        <f>A17+1</f>
        <v>10</v>
      </c>
      <c r="B18" s="280"/>
      <c r="C18" s="212" t="str">
        <f>IF(B18="","",VLOOKUP(B18,prezentace!A$2:E$200,5))</f>
        <v/>
      </c>
      <c r="D18" s="284"/>
      <c r="E18" s="273" t="s">
        <v>624</v>
      </c>
      <c r="F18" s="210" t="str">
        <f>IF(COUNTBLANK(D17:D18)&gt;0,"",IF(D17&gt;D18,C17,C18))</f>
        <v/>
      </c>
      <c r="G18" s="283"/>
      <c r="H18" s="333"/>
      <c r="I18" s="331"/>
      <c r="J18" s="332"/>
      <c r="K18" s="330"/>
      <c r="L18" s="331"/>
      <c r="M18" s="337"/>
      <c r="N18" s="330"/>
      <c r="O18" s="331"/>
      <c r="P18" s="314"/>
    </row>
    <row r="19" spans="1:18" x14ac:dyDescent="0.2">
      <c r="A19" s="39"/>
      <c r="B19" s="335"/>
      <c r="C19" s="331"/>
      <c r="D19" s="332"/>
      <c r="E19" s="330"/>
      <c r="F19" s="331"/>
      <c r="G19" s="287"/>
      <c r="H19" s="336" t="s">
        <v>625</v>
      </c>
      <c r="I19" s="218" t="str">
        <f>IF(COUNTBLANK(G18:G20)&gt;1,"",IF(G18&gt;G20,F18,F20))</f>
        <v/>
      </c>
      <c r="J19" s="283"/>
      <c r="K19" s="330"/>
      <c r="L19" s="331"/>
      <c r="M19" s="287"/>
      <c r="N19" s="330"/>
      <c r="O19" s="331"/>
      <c r="P19" s="314"/>
    </row>
    <row r="20" spans="1:18" x14ac:dyDescent="0.2">
      <c r="A20" s="214">
        <f>A18+1</f>
        <v>11</v>
      </c>
      <c r="B20" s="279"/>
      <c r="C20" s="210" t="str">
        <f>IF(B20="","",VLOOKUP(B20,prezentace!A$2:E$200,5))</f>
        <v/>
      </c>
      <c r="D20" s="283"/>
      <c r="E20" s="277" t="s">
        <v>624</v>
      </c>
      <c r="F20" s="212" t="str">
        <f>IF(COUNTBLANK(D20:D21)&gt;0,"",IF(D20&gt;D21,C20,C21))</f>
        <v/>
      </c>
      <c r="G20" s="284"/>
      <c r="H20" s="333"/>
      <c r="I20" s="331"/>
      <c r="J20" s="287"/>
      <c r="K20" s="330"/>
      <c r="L20" s="331"/>
      <c r="M20" s="337"/>
      <c r="N20" s="330"/>
      <c r="O20" s="331"/>
      <c r="P20" s="314"/>
    </row>
    <row r="21" spans="1:18" x14ac:dyDescent="0.2">
      <c r="A21" s="278">
        <f>A20+1</f>
        <v>12</v>
      </c>
      <c r="B21" s="280"/>
      <c r="C21" s="212" t="str">
        <f>IF(B21="","",VLOOKUP(B21,prezentace!A$2:E$200,5))</f>
        <v/>
      </c>
      <c r="D21" s="284"/>
      <c r="E21" s="330"/>
      <c r="F21" s="331"/>
      <c r="G21" s="332"/>
      <c r="H21" s="333"/>
      <c r="I21" s="331"/>
      <c r="J21" s="287"/>
      <c r="K21" s="330"/>
      <c r="L21" s="331"/>
      <c r="M21" s="337"/>
      <c r="N21" s="330"/>
      <c r="O21" s="331"/>
      <c r="P21" s="314"/>
    </row>
    <row r="22" spans="1:18" x14ac:dyDescent="0.2">
      <c r="A22" s="32"/>
      <c r="B22" s="341"/>
      <c r="C22" s="331"/>
      <c r="D22" s="332"/>
      <c r="E22" s="330"/>
      <c r="F22" s="331"/>
      <c r="G22" s="332"/>
      <c r="H22" s="333"/>
      <c r="I22" s="331"/>
      <c r="J22" s="287"/>
      <c r="K22" s="336" t="s">
        <v>626</v>
      </c>
      <c r="L22" s="218" t="str">
        <f>IF(COUNTBLANK(J19:J25)&gt;5,"",IF(J19&gt;J25,I19,I25))</f>
        <v/>
      </c>
      <c r="M22" s="284"/>
      <c r="N22" s="330"/>
      <c r="O22" s="331"/>
      <c r="P22" s="314"/>
    </row>
    <row r="23" spans="1:18" x14ac:dyDescent="0.2">
      <c r="A23" s="214">
        <f>A21+1</f>
        <v>13</v>
      </c>
      <c r="B23" s="279"/>
      <c r="C23" s="210" t="str">
        <f>IF(B23="","",VLOOKUP(B23,prezentace!A$2:E$200,5))</f>
        <v/>
      </c>
      <c r="D23" s="283"/>
      <c r="E23" s="330"/>
      <c r="F23" s="331"/>
      <c r="G23" s="332"/>
      <c r="H23" s="333"/>
      <c r="I23" s="331"/>
      <c r="J23" s="287"/>
      <c r="K23" s="330"/>
      <c r="L23" s="331"/>
      <c r="M23" s="334"/>
      <c r="N23" s="330"/>
      <c r="O23" s="331"/>
      <c r="P23" s="314"/>
    </row>
    <row r="24" spans="1:18" x14ac:dyDescent="0.2">
      <c r="A24" s="278">
        <f>A23+1</f>
        <v>14</v>
      </c>
      <c r="B24" s="280"/>
      <c r="C24" s="212" t="str">
        <f>IF(B24="","",VLOOKUP(B24,prezentace!A$2:E$200,5))</f>
        <v/>
      </c>
      <c r="D24" s="284"/>
      <c r="E24" s="273" t="s">
        <v>624</v>
      </c>
      <c r="F24" s="210" t="str">
        <f>IF(COUNTBLANK(D23:D24)&gt;0,"",IF(D23&gt;D24,C23,C24))</f>
        <v/>
      </c>
      <c r="G24" s="283"/>
      <c r="H24" s="333"/>
      <c r="I24" s="331"/>
      <c r="J24" s="287"/>
      <c r="K24" s="330"/>
      <c r="L24" s="331"/>
      <c r="M24" s="334"/>
      <c r="N24" s="330"/>
      <c r="O24" s="331"/>
      <c r="P24" s="314"/>
    </row>
    <row r="25" spans="1:18" x14ac:dyDescent="0.2">
      <c r="A25" s="39"/>
      <c r="B25" s="335"/>
      <c r="C25" s="331"/>
      <c r="D25" s="332"/>
      <c r="E25" s="330"/>
      <c r="F25" s="331"/>
      <c r="G25" s="287"/>
      <c r="H25" s="336" t="s">
        <v>625</v>
      </c>
      <c r="I25" s="218" t="str">
        <f>IF(COUNTBLANK(G24:G26)&gt;1,"",IF(G24&gt;G26,F24,F26))</f>
        <v/>
      </c>
      <c r="J25" s="284"/>
      <c r="K25" s="330"/>
      <c r="L25" s="338"/>
      <c r="M25" s="334"/>
      <c r="N25" s="330"/>
      <c r="O25" s="331"/>
      <c r="P25" s="314"/>
    </row>
    <row r="26" spans="1:18" x14ac:dyDescent="0.2">
      <c r="A26" s="214">
        <f>A24+1</f>
        <v>15</v>
      </c>
      <c r="B26" s="279"/>
      <c r="C26" s="210" t="str">
        <f>IF(B26="","",VLOOKUP(B26,prezentace!A$2:E$200,5))</f>
        <v/>
      </c>
      <c r="D26" s="283"/>
      <c r="E26" s="277" t="s">
        <v>624</v>
      </c>
      <c r="F26" s="212" t="str">
        <f>IF(COUNTBLANK(D26:D27)&gt;0,"",IF(D26&gt;D27,C26,C27))</f>
        <v/>
      </c>
      <c r="G26" s="284"/>
      <c r="H26" s="333"/>
      <c r="I26" s="331"/>
      <c r="J26" s="332"/>
      <c r="K26" s="330"/>
      <c r="L26" s="331"/>
      <c r="M26" s="334"/>
      <c r="N26" s="330"/>
      <c r="O26" s="331"/>
      <c r="P26" s="314"/>
    </row>
    <row r="27" spans="1:18" x14ac:dyDescent="0.2">
      <c r="A27" s="278">
        <f>A26+1</f>
        <v>16</v>
      </c>
      <c r="B27" s="280"/>
      <c r="C27" s="212" t="str">
        <f>IF(B27="","",VLOOKUP(B27,prezentace!A$2:E$200,5))</f>
        <v/>
      </c>
      <c r="D27" s="284"/>
      <c r="E27" s="330"/>
      <c r="F27" s="331"/>
      <c r="G27" s="332"/>
      <c r="H27" s="333"/>
      <c r="I27" s="331"/>
      <c r="J27" s="332"/>
      <c r="K27" s="330"/>
      <c r="L27" s="331"/>
      <c r="M27" s="334"/>
      <c r="N27" s="330"/>
      <c r="O27" s="331"/>
      <c r="P27" s="314"/>
    </row>
    <row r="28" spans="1:18" x14ac:dyDescent="0.2">
      <c r="A28" s="216"/>
      <c r="B28" s="316"/>
      <c r="C28" s="217"/>
      <c r="D28" s="311"/>
      <c r="E28" s="343"/>
      <c r="F28" s="344"/>
      <c r="G28" s="345"/>
      <c r="H28" s="343"/>
      <c r="I28" s="344"/>
      <c r="J28" s="345"/>
      <c r="K28" s="346"/>
      <c r="L28" s="331"/>
      <c r="M28" s="332"/>
      <c r="N28" s="330"/>
      <c r="O28" s="331"/>
      <c r="P28" s="314"/>
      <c r="Q28" s="336" t="s">
        <v>628</v>
      </c>
      <c r="R28" s="219" t="str">
        <f>IF(COUNTBLANK(P16:P40)&gt;23,"",IF(P16&gt;P40,O16,O40))</f>
        <v/>
      </c>
    </row>
    <row r="29" spans="1:18" x14ac:dyDescent="0.2">
      <c r="A29" s="214">
        <f>A27+1</f>
        <v>17</v>
      </c>
      <c r="B29" s="279"/>
      <c r="C29" s="210" t="str">
        <f>IF(B29="","",VLOOKUP(B29,prezentace!A$2:E$200,5))</f>
        <v/>
      </c>
      <c r="D29" s="283"/>
      <c r="E29" s="330"/>
      <c r="F29" s="331"/>
      <c r="G29" s="332"/>
      <c r="H29" s="333"/>
      <c r="I29" s="331"/>
      <c r="J29" s="332"/>
      <c r="K29" s="330"/>
      <c r="L29" s="331"/>
      <c r="M29" s="334"/>
      <c r="N29" s="330"/>
      <c r="O29" s="331"/>
      <c r="P29" s="314"/>
    </row>
    <row r="30" spans="1:18" x14ac:dyDescent="0.2">
      <c r="A30" s="278">
        <f>A29+1</f>
        <v>18</v>
      </c>
      <c r="B30" s="280"/>
      <c r="C30" s="212" t="str">
        <f>IF(B30="","",VLOOKUP(B30,prezentace!A$2:E$200,5))</f>
        <v/>
      </c>
      <c r="D30" s="284"/>
      <c r="E30" s="273" t="s">
        <v>624</v>
      </c>
      <c r="F30" s="210" t="str">
        <f>IF(COUNTBLANK(D29:D30)&gt;0,"",IF(D29&gt;D30,C29,C30))</f>
        <v/>
      </c>
      <c r="G30" s="283"/>
      <c r="H30" s="333"/>
      <c r="I30" s="331"/>
      <c r="J30" s="332"/>
      <c r="K30" s="330"/>
      <c r="L30" s="331"/>
      <c r="M30" s="334"/>
      <c r="N30" s="330"/>
      <c r="O30" s="331"/>
      <c r="P30" s="314"/>
    </row>
    <row r="31" spans="1:18" x14ac:dyDescent="0.2">
      <c r="A31" s="39"/>
      <c r="B31" s="335"/>
      <c r="C31" s="331"/>
      <c r="D31" s="332"/>
      <c r="E31" s="330"/>
      <c r="F31" s="331"/>
      <c r="G31" s="287"/>
      <c r="H31" s="336" t="s">
        <v>625</v>
      </c>
      <c r="I31" s="218" t="str">
        <f>IF(COUNTBLANK(G30:G32)&gt;1,"",IF(G30&gt;G32,F30,F32))</f>
        <v/>
      </c>
      <c r="J31" s="283"/>
      <c r="K31" s="330"/>
      <c r="L31" s="331"/>
      <c r="M31" s="332"/>
      <c r="N31" s="330"/>
      <c r="O31" s="331"/>
      <c r="P31" s="314"/>
    </row>
    <row r="32" spans="1:18" x14ac:dyDescent="0.2">
      <c r="A32" s="214">
        <f>A30+1</f>
        <v>19</v>
      </c>
      <c r="B32" s="279"/>
      <c r="C32" s="210" t="str">
        <f>IF(B32="","",VLOOKUP(B32,prezentace!A$2:E$200,5))</f>
        <v/>
      </c>
      <c r="D32" s="283"/>
      <c r="E32" s="277" t="s">
        <v>624</v>
      </c>
      <c r="F32" s="212" t="str">
        <f>IF(COUNTBLANK(D32:D33)&gt;0,"",IF(D32&gt;D33,C32,C33))</f>
        <v/>
      </c>
      <c r="G32" s="284"/>
      <c r="H32" s="333"/>
      <c r="I32" s="331"/>
      <c r="J32" s="287"/>
      <c r="K32" s="330"/>
      <c r="L32" s="331"/>
      <c r="M32" s="334"/>
      <c r="N32" s="330"/>
      <c r="O32" s="331"/>
      <c r="P32" s="314"/>
    </row>
    <row r="33" spans="1:17" x14ac:dyDescent="0.2">
      <c r="A33" s="278">
        <f>A32+1</f>
        <v>20</v>
      </c>
      <c r="B33" s="280"/>
      <c r="C33" s="212" t="str">
        <f>IF(B33="","",VLOOKUP(B33,prezentace!A$2:E$200,5))</f>
        <v/>
      </c>
      <c r="D33" s="284"/>
      <c r="E33" s="330"/>
      <c r="F33" s="331"/>
      <c r="G33" s="332"/>
      <c r="H33" s="333"/>
      <c r="I33" s="331"/>
      <c r="J33" s="287"/>
      <c r="K33" s="330"/>
      <c r="L33" s="331"/>
      <c r="M33" s="334"/>
      <c r="N33" s="330"/>
      <c r="O33" s="331"/>
      <c r="P33" s="314"/>
    </row>
    <row r="34" spans="1:17" x14ac:dyDescent="0.2">
      <c r="A34" s="39"/>
      <c r="B34" s="335"/>
      <c r="C34" s="331"/>
      <c r="D34" s="332"/>
      <c r="E34" s="330"/>
      <c r="F34" s="331"/>
      <c r="G34" s="332"/>
      <c r="H34" s="333"/>
      <c r="I34" s="331"/>
      <c r="J34" s="287"/>
      <c r="K34" s="336" t="s">
        <v>626</v>
      </c>
      <c r="L34" s="218" t="str">
        <f>IF(COUNTBLANK(J31:J37)&gt;5,"",IF(J31&gt;J37,I31,I37))</f>
        <v/>
      </c>
      <c r="M34" s="283"/>
      <c r="N34" s="330"/>
      <c r="O34" s="331"/>
      <c r="P34" s="314"/>
    </row>
    <row r="35" spans="1:17" x14ac:dyDescent="0.2">
      <c r="A35" s="214">
        <f>A33+1</f>
        <v>21</v>
      </c>
      <c r="B35" s="279"/>
      <c r="C35" s="210" t="str">
        <f>IF(B35="","",VLOOKUP(B35,prezentace!A$2:E$200,5))</f>
        <v/>
      </c>
      <c r="D35" s="283"/>
      <c r="E35" s="330"/>
      <c r="F35" s="331"/>
      <c r="G35" s="332"/>
      <c r="H35" s="333"/>
      <c r="I35" s="331"/>
      <c r="J35" s="287"/>
      <c r="K35" s="330"/>
      <c r="L35" s="331"/>
      <c r="M35" s="337"/>
      <c r="N35" s="330"/>
      <c r="O35" s="331"/>
      <c r="P35" s="314"/>
    </row>
    <row r="36" spans="1:17" x14ac:dyDescent="0.2">
      <c r="A36" s="278">
        <f>A35+1</f>
        <v>22</v>
      </c>
      <c r="B36" s="280"/>
      <c r="C36" s="212" t="str">
        <f>IF(B36="","",VLOOKUP(B36,prezentace!A$2:E$200,5))</f>
        <v/>
      </c>
      <c r="D36" s="284"/>
      <c r="E36" s="273" t="s">
        <v>624</v>
      </c>
      <c r="F36" s="210" t="str">
        <f>IF(COUNTBLANK(D35:D36)&gt;0,"",IF(D35&gt;D36,C35,C36))</f>
        <v/>
      </c>
      <c r="G36" s="283"/>
      <c r="H36" s="333"/>
      <c r="I36" s="331"/>
      <c r="J36" s="287"/>
      <c r="K36" s="330"/>
      <c r="L36" s="331"/>
      <c r="M36" s="337"/>
      <c r="N36" s="330"/>
      <c r="O36" s="331"/>
      <c r="P36" s="314"/>
    </row>
    <row r="37" spans="1:17" x14ac:dyDescent="0.2">
      <c r="A37" s="39"/>
      <c r="B37" s="335"/>
      <c r="C37" s="331"/>
      <c r="D37" s="332"/>
      <c r="E37" s="330"/>
      <c r="F37" s="331"/>
      <c r="G37" s="287"/>
      <c r="H37" s="336" t="s">
        <v>625</v>
      </c>
      <c r="I37" s="218" t="str">
        <f>IF(COUNTBLANK(G36:G38)&gt;1,"",IF(G36&gt;G38,F36,F38))</f>
        <v/>
      </c>
      <c r="J37" s="284"/>
      <c r="K37" s="330"/>
      <c r="L37" s="338"/>
      <c r="M37" s="287"/>
      <c r="N37" s="330"/>
      <c r="O37" s="331"/>
      <c r="P37" s="314"/>
    </row>
    <row r="38" spans="1:17" x14ac:dyDescent="0.2">
      <c r="A38" s="214">
        <f>A36+1</f>
        <v>23</v>
      </c>
      <c r="B38" s="279"/>
      <c r="C38" s="210" t="str">
        <f>IF(B38="","",VLOOKUP(B38,prezentace!A$2:E$200,5))</f>
        <v/>
      </c>
      <c r="D38" s="283"/>
      <c r="E38" s="277" t="s">
        <v>624</v>
      </c>
      <c r="F38" s="212" t="str">
        <f>IF(COUNTBLANK(D38:D39)&gt;0,"",IF(D38&gt;D39,C38,C39))</f>
        <v/>
      </c>
      <c r="G38" s="284"/>
      <c r="H38" s="333"/>
      <c r="I38" s="331"/>
      <c r="J38" s="332"/>
      <c r="K38" s="330"/>
      <c r="L38" s="331"/>
      <c r="M38" s="337"/>
      <c r="N38" s="330"/>
      <c r="O38" s="331"/>
      <c r="P38" s="314"/>
    </row>
    <row r="39" spans="1:17" x14ac:dyDescent="0.2">
      <c r="A39" s="278">
        <f>A38+1</f>
        <v>24</v>
      </c>
      <c r="B39" s="280"/>
      <c r="C39" s="212" t="str">
        <f>IF(B39="","",VLOOKUP(B39,prezentace!A$2:E$200,5))</f>
        <v/>
      </c>
      <c r="D39" s="284"/>
      <c r="E39" s="330"/>
      <c r="F39" s="331"/>
      <c r="G39" s="332"/>
      <c r="H39" s="333"/>
      <c r="I39" s="331"/>
      <c r="J39" s="332"/>
      <c r="K39" s="330"/>
      <c r="L39" s="331"/>
      <c r="M39" s="339"/>
      <c r="N39" s="340"/>
      <c r="O39" s="331"/>
      <c r="P39" s="314"/>
    </row>
    <row r="40" spans="1:17" x14ac:dyDescent="0.2">
      <c r="A40" s="32"/>
      <c r="B40" s="341"/>
      <c r="C40" s="331"/>
      <c r="D40" s="332"/>
      <c r="E40" s="330"/>
      <c r="F40" s="331"/>
      <c r="G40" s="332"/>
      <c r="H40" s="333"/>
      <c r="I40" s="331"/>
      <c r="J40" s="332"/>
      <c r="K40" s="330"/>
      <c r="L40" s="331"/>
      <c r="M40" s="339"/>
      <c r="N40" s="336" t="s">
        <v>627</v>
      </c>
      <c r="O40" s="218" t="str">
        <f>IF(COUNTBLANK(M34:M46)&gt;11,"",IF(M34&gt;M46,L34,L46))</f>
        <v/>
      </c>
      <c r="P40" s="315"/>
      <c r="Q40" s="342"/>
    </row>
    <row r="41" spans="1:17" x14ac:dyDescent="0.2">
      <c r="A41" s="214">
        <f>A39+1</f>
        <v>25</v>
      </c>
      <c r="B41" s="279"/>
      <c r="C41" s="210" t="str">
        <f>IF(B41="","",VLOOKUP(B41,prezentace!A$2:E$200,5))</f>
        <v/>
      </c>
      <c r="D41" s="283"/>
      <c r="E41" s="330"/>
      <c r="F41" s="331"/>
      <c r="G41" s="332"/>
      <c r="H41" s="333"/>
      <c r="I41" s="331"/>
      <c r="J41" s="332"/>
      <c r="K41" s="330"/>
      <c r="L41" s="331"/>
      <c r="M41" s="337"/>
      <c r="N41" s="330"/>
      <c r="O41" s="331"/>
      <c r="P41" s="312"/>
    </row>
    <row r="42" spans="1:17" x14ac:dyDescent="0.2">
      <c r="A42" s="278">
        <f>A41+1</f>
        <v>26</v>
      </c>
      <c r="B42" s="280"/>
      <c r="C42" s="212" t="str">
        <f>IF(B42="","",VLOOKUP(B42,prezentace!A$2:E$200,5))</f>
        <v/>
      </c>
      <c r="D42" s="284"/>
      <c r="E42" s="273" t="s">
        <v>624</v>
      </c>
      <c r="F42" s="210" t="str">
        <f>IF(COUNTBLANK(D41:D42)&gt;0,"",IF(D41&gt;D42,C41,C42))</f>
        <v/>
      </c>
      <c r="G42" s="283"/>
      <c r="H42" s="333"/>
      <c r="I42" s="331"/>
      <c r="J42" s="332"/>
      <c r="K42" s="330"/>
      <c r="L42" s="331"/>
      <c r="M42" s="337"/>
      <c r="N42" s="330"/>
      <c r="O42" s="331"/>
      <c r="P42" s="312"/>
    </row>
    <row r="43" spans="1:17" x14ac:dyDescent="0.2">
      <c r="A43" s="39"/>
      <c r="B43" s="335"/>
      <c r="C43" s="331"/>
      <c r="D43" s="332"/>
      <c r="E43" s="330"/>
      <c r="F43" s="331"/>
      <c r="G43" s="287"/>
      <c r="H43" s="336" t="s">
        <v>625</v>
      </c>
      <c r="I43" s="218" t="str">
        <f>IF(COUNTBLANK(G42:G44)&gt;1,"",IF(G42&gt;G44,F42,F44))</f>
        <v/>
      </c>
      <c r="J43" s="283"/>
      <c r="K43" s="330"/>
      <c r="L43" s="331"/>
      <c r="M43" s="287"/>
      <c r="N43" s="330"/>
      <c r="O43" s="331"/>
      <c r="P43" s="312"/>
    </row>
    <row r="44" spans="1:17" x14ac:dyDescent="0.2">
      <c r="A44" s="214">
        <f>A42+1</f>
        <v>27</v>
      </c>
      <c r="B44" s="279"/>
      <c r="C44" s="210" t="str">
        <f>IF(B44="","",VLOOKUP(B44,prezentace!A$2:E$200,5))</f>
        <v/>
      </c>
      <c r="D44" s="283"/>
      <c r="E44" s="277" t="s">
        <v>624</v>
      </c>
      <c r="F44" s="212" t="str">
        <f>IF(COUNTBLANK(D44:D45)&gt;0,"",IF(D44&gt;D45,C44,C45))</f>
        <v/>
      </c>
      <c r="G44" s="284"/>
      <c r="H44" s="333"/>
      <c r="I44" s="331"/>
      <c r="J44" s="287"/>
      <c r="K44" s="330"/>
      <c r="L44" s="331"/>
      <c r="M44" s="337"/>
      <c r="N44" s="330"/>
      <c r="O44" s="331"/>
      <c r="P44" s="312"/>
    </row>
    <row r="45" spans="1:17" x14ac:dyDescent="0.2">
      <c r="A45" s="278">
        <f>A44+1</f>
        <v>28</v>
      </c>
      <c r="B45" s="280"/>
      <c r="C45" s="212" t="str">
        <f>IF(B45="","",VLOOKUP(B45,prezentace!A$2:E$200,5))</f>
        <v/>
      </c>
      <c r="D45" s="284"/>
      <c r="E45" s="330"/>
      <c r="F45" s="331"/>
      <c r="G45" s="332"/>
      <c r="H45" s="333"/>
      <c r="I45" s="331"/>
      <c r="J45" s="287"/>
      <c r="K45" s="330"/>
      <c r="L45" s="331"/>
      <c r="M45" s="337"/>
      <c r="N45" s="330"/>
      <c r="O45" s="331"/>
      <c r="P45" s="312"/>
    </row>
    <row r="46" spans="1:17" x14ac:dyDescent="0.2">
      <c r="A46" s="32"/>
      <c r="B46" s="341"/>
      <c r="C46" s="331"/>
      <c r="D46" s="332"/>
      <c r="E46" s="330"/>
      <c r="F46" s="331"/>
      <c r="G46" s="332"/>
      <c r="H46" s="333"/>
      <c r="I46" s="331"/>
      <c r="J46" s="287"/>
      <c r="K46" s="336" t="s">
        <v>626</v>
      </c>
      <c r="L46" s="218" t="str">
        <f>IF(COUNTBLANK(J43:J49)&gt;5,"",IF(J43&gt;J49,I43,I49))</f>
        <v/>
      </c>
      <c r="M46" s="284"/>
      <c r="N46" s="330"/>
      <c r="O46" s="331"/>
      <c r="P46" s="312"/>
    </row>
    <row r="47" spans="1:17" x14ac:dyDescent="0.2">
      <c r="A47" s="214">
        <f>A45+1</f>
        <v>29</v>
      </c>
      <c r="B47" s="279"/>
      <c r="C47" s="210" t="str">
        <f>IF(B47="","",VLOOKUP(B47,prezentace!A$2:E$200,5))</f>
        <v/>
      </c>
      <c r="D47" s="283"/>
      <c r="E47" s="330"/>
      <c r="F47" s="331"/>
      <c r="G47" s="332"/>
      <c r="H47" s="333"/>
      <c r="I47" s="331"/>
      <c r="J47" s="287"/>
      <c r="K47" s="330"/>
      <c r="L47" s="331"/>
      <c r="M47" s="334"/>
      <c r="N47" s="330"/>
      <c r="O47" s="331"/>
      <c r="P47" s="312"/>
    </row>
    <row r="48" spans="1:17" x14ac:dyDescent="0.2">
      <c r="A48" s="278">
        <f>A47+1</f>
        <v>30</v>
      </c>
      <c r="B48" s="280"/>
      <c r="C48" s="212" t="str">
        <f>IF(B48="","",VLOOKUP(B48,prezentace!A$2:E$200,5))</f>
        <v/>
      </c>
      <c r="D48" s="284"/>
      <c r="E48" s="273" t="s">
        <v>624</v>
      </c>
      <c r="F48" s="210" t="str">
        <f>IF(COUNTBLANK(D47:D48)&gt;0,"",IF(D47&gt;D48,C47,C48))</f>
        <v/>
      </c>
      <c r="G48" s="283"/>
      <c r="H48" s="333"/>
      <c r="I48" s="331"/>
      <c r="J48" s="287"/>
      <c r="K48" s="330"/>
      <c r="L48" s="331"/>
      <c r="M48" s="334"/>
      <c r="N48" s="330"/>
      <c r="O48" s="331"/>
      <c r="P48" s="312"/>
    </row>
    <row r="49" spans="1:18" x14ac:dyDescent="0.2">
      <c r="A49" s="39"/>
      <c r="B49" s="335"/>
      <c r="C49" s="331"/>
      <c r="D49" s="332"/>
      <c r="E49" s="330"/>
      <c r="F49" s="331"/>
      <c r="G49" s="287"/>
      <c r="H49" s="336" t="s">
        <v>625</v>
      </c>
      <c r="I49" s="218" t="str">
        <f>IF(COUNTBLANK(G48:G50)&gt;1,"",IF(G48&gt;G50,F48,F50))</f>
        <v/>
      </c>
      <c r="J49" s="284"/>
      <c r="K49" s="330"/>
      <c r="L49" s="331"/>
      <c r="M49" s="334"/>
      <c r="N49" s="330"/>
      <c r="O49" s="331"/>
      <c r="P49" s="312"/>
    </row>
    <row r="50" spans="1:18" x14ac:dyDescent="0.2">
      <c r="A50" s="214">
        <f>A48+1</f>
        <v>31</v>
      </c>
      <c r="B50" s="279"/>
      <c r="C50" s="210" t="str">
        <f>IF(B50="","",VLOOKUP(B50,prezentace!A$2:E$200,5))</f>
        <v/>
      </c>
      <c r="D50" s="283"/>
      <c r="E50" s="277" t="s">
        <v>624</v>
      </c>
      <c r="F50" s="212" t="str">
        <f>IF(COUNTBLANK(D50:D51)&gt;0,"",IF(D50&gt;D51,C50,C51))</f>
        <v/>
      </c>
      <c r="G50" s="284"/>
      <c r="H50" s="333"/>
      <c r="I50" s="331"/>
      <c r="J50" s="332"/>
      <c r="K50" s="330"/>
      <c r="L50" s="331"/>
      <c r="M50" s="332"/>
      <c r="N50" s="330"/>
      <c r="O50" s="331"/>
      <c r="P50" s="312"/>
    </row>
    <row r="51" spans="1:18" x14ac:dyDescent="0.2">
      <c r="A51" s="278">
        <f>A50+1</f>
        <v>32</v>
      </c>
      <c r="B51" s="280"/>
      <c r="C51" s="212" t="str">
        <f>IF(B51="","",VLOOKUP(B51,prezentace!A$2:E$200,5))</f>
        <v/>
      </c>
      <c r="D51" s="284"/>
      <c r="E51" s="330"/>
      <c r="F51" s="331"/>
      <c r="G51" s="332"/>
      <c r="H51" s="333"/>
      <c r="I51" s="331"/>
      <c r="J51" s="332"/>
      <c r="K51" s="330"/>
      <c r="L51" s="331"/>
      <c r="M51" s="334"/>
      <c r="N51" s="330"/>
      <c r="O51" s="331"/>
      <c r="P51" s="312"/>
    </row>
    <row r="52" spans="1:18" x14ac:dyDescent="0.2">
      <c r="D52" s="332"/>
      <c r="E52" s="330"/>
      <c r="F52" s="331"/>
      <c r="G52" s="332"/>
      <c r="H52" s="333"/>
      <c r="I52" s="331"/>
      <c r="J52" s="332"/>
      <c r="K52" s="330"/>
      <c r="L52" s="331"/>
      <c r="M52" s="334"/>
      <c r="N52" s="330"/>
      <c r="O52" s="331"/>
      <c r="P52" s="347"/>
      <c r="Q52" s="333"/>
      <c r="R52" s="331"/>
    </row>
    <row r="53" spans="1:18" x14ac:dyDescent="0.2">
      <c r="G53" s="295"/>
      <c r="J53" s="332"/>
      <c r="K53" s="330"/>
      <c r="L53" s="331"/>
      <c r="M53" s="332"/>
      <c r="N53" s="330"/>
      <c r="O53" s="331"/>
      <c r="P53" s="295"/>
    </row>
  </sheetData>
  <mergeCells count="9">
    <mergeCell ref="A1:R1"/>
    <mergeCell ref="A2:R2"/>
    <mergeCell ref="A3:R3"/>
    <mergeCell ref="A4:D4"/>
    <mergeCell ref="E4:G4"/>
    <mergeCell ref="H4:J4"/>
    <mergeCell ref="K4:M4"/>
    <mergeCell ref="N4:P4"/>
    <mergeCell ref="Q4:R4"/>
  </mergeCells>
  <pageMargins left="0.39370078740157483" right="0.39370078740157483" top="0.39370078740157483" bottom="0.39370078740157483" header="0.31496062992125984" footer="0.31496062992125984"/>
  <pageSetup paperSize="9" scale="70" orientation="landscape" horizontalDpi="200" verticalDpi="200" r:id="rId1"/>
  <colBreaks count="1" manualBreakCount="1">
    <brk id="18" min="2" max="122"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EDD0-5F57-4759-B227-60B07BC88784}">
  <dimension ref="A1:S123"/>
  <sheetViews>
    <sheetView showGridLines="0" view="pageBreakPreview" topLeftCell="A94" zoomScaleNormal="100" zoomScaleSheetLayoutView="100" workbookViewId="0">
      <selection activeCell="C2" sqref="C2:D2"/>
    </sheetView>
  </sheetViews>
  <sheetFormatPr defaultRowHeight="12.75" x14ac:dyDescent="0.2"/>
  <cols>
    <col min="1" max="1" width="6.85546875" style="363" customWidth="1"/>
    <col min="2" max="2" width="5.5703125" style="363" bestFit="1" customWidth="1"/>
    <col min="3" max="4" width="23.85546875" style="364" customWidth="1"/>
    <col min="5" max="9" width="6.5703125" style="354" customWidth="1"/>
    <col min="10" max="10" width="9.42578125" style="365" customWidth="1"/>
    <col min="11" max="11" width="5.42578125" style="353" bestFit="1" customWidth="1"/>
    <col min="12" max="12" width="21.140625" style="353" customWidth="1"/>
    <col min="13" max="13" width="15" style="353" customWidth="1"/>
    <col min="14" max="14" width="15" style="354" customWidth="1"/>
    <col min="15" max="15" width="27.140625" style="354" bestFit="1" customWidth="1"/>
    <col min="16" max="18" width="5.7109375" style="354" bestFit="1" customWidth="1"/>
    <col min="19" max="19" width="8.140625" style="365" bestFit="1" customWidth="1"/>
    <col min="20" max="16384" width="9.140625" style="354"/>
  </cols>
  <sheetData>
    <row r="1" spans="1:14" ht="14.45" customHeight="1" x14ac:dyDescent="0.2">
      <c r="A1" s="348"/>
      <c r="B1" s="349" t="s">
        <v>60</v>
      </c>
      <c r="C1" s="350" t="s">
        <v>96</v>
      </c>
      <c r="D1" s="350" t="s">
        <v>97</v>
      </c>
      <c r="E1" s="351" t="s">
        <v>162</v>
      </c>
      <c r="F1" s="351" t="s">
        <v>163</v>
      </c>
      <c r="G1" s="351" t="s">
        <v>164</v>
      </c>
      <c r="H1" s="351" t="s">
        <v>221</v>
      </c>
      <c r="I1" s="351" t="s">
        <v>220</v>
      </c>
      <c r="J1" s="352" t="s">
        <v>161</v>
      </c>
    </row>
    <row r="2" spans="1:14" ht="23.25" x14ac:dyDescent="0.2">
      <c r="A2" s="355" t="s">
        <v>623</v>
      </c>
      <c r="B2" s="356"/>
      <c r="C2" s="357"/>
      <c r="D2" s="357"/>
      <c r="E2" s="358"/>
      <c r="F2" s="359"/>
      <c r="G2" s="359"/>
      <c r="H2" s="359"/>
      <c r="I2" s="359"/>
      <c r="J2" s="360"/>
    </row>
    <row r="3" spans="1:14" ht="24" thickBot="1" x14ac:dyDescent="0.25">
      <c r="A3" s="425" t="s">
        <v>165</v>
      </c>
      <c r="B3" s="426"/>
      <c r="C3" s="361"/>
      <c r="D3" s="362" t="s">
        <v>166</v>
      </c>
      <c r="E3" s="427"/>
      <c r="F3" s="427"/>
      <c r="G3" s="427"/>
      <c r="H3" s="427"/>
      <c r="I3" s="427"/>
      <c r="J3" s="428"/>
    </row>
    <row r="4" spans="1:14" ht="13.5" thickBot="1" x14ac:dyDescent="0.25"/>
    <row r="5" spans="1:14" ht="14.45" customHeight="1" x14ac:dyDescent="0.2">
      <c r="A5" s="348"/>
      <c r="B5" s="349" t="s">
        <v>60</v>
      </c>
      <c r="C5" s="350" t="s">
        <v>96</v>
      </c>
      <c r="D5" s="350" t="s">
        <v>97</v>
      </c>
      <c r="E5" s="351" t="s">
        <v>162</v>
      </c>
      <c r="F5" s="351" t="s">
        <v>163</v>
      </c>
      <c r="G5" s="351" t="s">
        <v>164</v>
      </c>
      <c r="H5" s="351" t="s">
        <v>221</v>
      </c>
      <c r="I5" s="351" t="s">
        <v>220</v>
      </c>
      <c r="J5" s="352" t="s">
        <v>161</v>
      </c>
    </row>
    <row r="6" spans="1:14" ht="23.25" x14ac:dyDescent="0.2">
      <c r="A6" s="355" t="s">
        <v>623</v>
      </c>
      <c r="B6" s="356"/>
      <c r="C6" s="357"/>
      <c r="D6" s="357"/>
      <c r="E6" s="359"/>
      <c r="F6" s="359"/>
      <c r="G6" s="359"/>
      <c r="H6" s="359"/>
      <c r="I6" s="359"/>
      <c r="J6" s="360"/>
      <c r="N6" s="366"/>
    </row>
    <row r="7" spans="1:14" ht="24" thickBot="1" x14ac:dyDescent="0.25">
      <c r="A7" s="425" t="s">
        <v>165</v>
      </c>
      <c r="B7" s="426"/>
      <c r="C7" s="361"/>
      <c r="D7" s="362" t="s">
        <v>166</v>
      </c>
      <c r="E7" s="427"/>
      <c r="F7" s="427"/>
      <c r="G7" s="427"/>
      <c r="H7" s="427"/>
      <c r="I7" s="427"/>
      <c r="J7" s="428"/>
    </row>
    <row r="8" spans="1:14" ht="12" customHeight="1" thickBot="1" x14ac:dyDescent="0.25">
      <c r="A8" s="367"/>
    </row>
    <row r="9" spans="1:14" ht="14.45" customHeight="1" x14ac:dyDescent="0.2">
      <c r="A9" s="348"/>
      <c r="B9" s="349" t="s">
        <v>60</v>
      </c>
      <c r="C9" s="350" t="s">
        <v>96</v>
      </c>
      <c r="D9" s="350" t="s">
        <v>97</v>
      </c>
      <c r="E9" s="351" t="s">
        <v>162</v>
      </c>
      <c r="F9" s="351" t="s">
        <v>163</v>
      </c>
      <c r="G9" s="351" t="s">
        <v>164</v>
      </c>
      <c r="H9" s="351" t="s">
        <v>221</v>
      </c>
      <c r="I9" s="351" t="s">
        <v>220</v>
      </c>
      <c r="J9" s="352" t="s">
        <v>161</v>
      </c>
    </row>
    <row r="10" spans="1:14" ht="23.25" x14ac:dyDescent="0.2">
      <c r="A10" s="355" t="s">
        <v>623</v>
      </c>
      <c r="B10" s="356"/>
      <c r="C10" s="357"/>
      <c r="D10" s="357"/>
      <c r="E10" s="359"/>
      <c r="F10" s="359"/>
      <c r="G10" s="359"/>
      <c r="H10" s="359"/>
      <c r="I10" s="359"/>
      <c r="J10" s="360"/>
    </row>
    <row r="11" spans="1:14" ht="24" thickBot="1" x14ac:dyDescent="0.25">
      <c r="A11" s="425" t="s">
        <v>165</v>
      </c>
      <c r="B11" s="426"/>
      <c r="C11" s="361"/>
      <c r="D11" s="362" t="s">
        <v>166</v>
      </c>
      <c r="E11" s="427"/>
      <c r="F11" s="427"/>
      <c r="G11" s="427"/>
      <c r="H11" s="427"/>
      <c r="I11" s="427"/>
      <c r="J11" s="428"/>
    </row>
    <row r="12" spans="1:14" ht="12" customHeight="1" thickBot="1" x14ac:dyDescent="0.25"/>
    <row r="13" spans="1:14" ht="14.45" customHeight="1" x14ac:dyDescent="0.2">
      <c r="A13" s="348"/>
      <c r="B13" s="349" t="s">
        <v>60</v>
      </c>
      <c r="C13" s="350" t="s">
        <v>96</v>
      </c>
      <c r="D13" s="350" t="s">
        <v>97</v>
      </c>
      <c r="E13" s="351" t="s">
        <v>162</v>
      </c>
      <c r="F13" s="351" t="s">
        <v>163</v>
      </c>
      <c r="G13" s="351" t="s">
        <v>164</v>
      </c>
      <c r="H13" s="351" t="s">
        <v>221</v>
      </c>
      <c r="I13" s="351" t="s">
        <v>220</v>
      </c>
      <c r="J13" s="352" t="s">
        <v>161</v>
      </c>
    </row>
    <row r="14" spans="1:14" ht="23.25" x14ac:dyDescent="0.2">
      <c r="A14" s="355" t="s">
        <v>623</v>
      </c>
      <c r="B14" s="356"/>
      <c r="C14" s="357"/>
      <c r="D14" s="357"/>
      <c r="E14" s="359"/>
      <c r="F14" s="359"/>
      <c r="G14" s="359"/>
      <c r="H14" s="359"/>
      <c r="I14" s="359"/>
      <c r="J14" s="360"/>
    </row>
    <row r="15" spans="1:14" ht="24" thickBot="1" x14ac:dyDescent="0.25">
      <c r="A15" s="425" t="s">
        <v>165</v>
      </c>
      <c r="B15" s="426"/>
      <c r="C15" s="361"/>
      <c r="D15" s="362" t="s">
        <v>166</v>
      </c>
      <c r="E15" s="427"/>
      <c r="F15" s="427"/>
      <c r="G15" s="427"/>
      <c r="H15" s="427"/>
      <c r="I15" s="427"/>
      <c r="J15" s="428"/>
    </row>
    <row r="16" spans="1:14" ht="12" customHeight="1" thickBot="1" x14ac:dyDescent="0.25">
      <c r="A16" s="367"/>
    </row>
    <row r="17" spans="1:10" ht="14.45" customHeight="1" x14ac:dyDescent="0.2">
      <c r="A17" s="348"/>
      <c r="B17" s="349" t="s">
        <v>60</v>
      </c>
      <c r="C17" s="350" t="s">
        <v>96</v>
      </c>
      <c r="D17" s="350" t="s">
        <v>97</v>
      </c>
      <c r="E17" s="351" t="s">
        <v>162</v>
      </c>
      <c r="F17" s="351" t="s">
        <v>163</v>
      </c>
      <c r="G17" s="351" t="s">
        <v>164</v>
      </c>
      <c r="H17" s="351" t="s">
        <v>221</v>
      </c>
      <c r="I17" s="351" t="s">
        <v>220</v>
      </c>
      <c r="J17" s="352" t="s">
        <v>161</v>
      </c>
    </row>
    <row r="18" spans="1:10" ht="23.25" x14ac:dyDescent="0.2">
      <c r="A18" s="355" t="s">
        <v>623</v>
      </c>
      <c r="B18" s="356"/>
      <c r="C18" s="357"/>
      <c r="D18" s="357"/>
      <c r="E18" s="359"/>
      <c r="F18" s="359"/>
      <c r="G18" s="359"/>
      <c r="H18" s="359"/>
      <c r="I18" s="359"/>
      <c r="J18" s="360"/>
    </row>
    <row r="19" spans="1:10" ht="24" thickBot="1" x14ac:dyDescent="0.25">
      <c r="A19" s="425" t="s">
        <v>165</v>
      </c>
      <c r="B19" s="426"/>
      <c r="C19" s="361"/>
      <c r="D19" s="362" t="s">
        <v>166</v>
      </c>
      <c r="E19" s="427"/>
      <c r="F19" s="427"/>
      <c r="G19" s="427"/>
      <c r="H19" s="427"/>
      <c r="I19" s="427"/>
      <c r="J19" s="428"/>
    </row>
    <row r="20" spans="1:10" ht="13.5" thickBot="1" x14ac:dyDescent="0.25"/>
    <row r="21" spans="1:10" ht="14.45" customHeight="1" x14ac:dyDescent="0.2">
      <c r="A21" s="348"/>
      <c r="B21" s="349" t="s">
        <v>60</v>
      </c>
      <c r="C21" s="350" t="s">
        <v>96</v>
      </c>
      <c r="D21" s="350" t="s">
        <v>97</v>
      </c>
      <c r="E21" s="351" t="s">
        <v>162</v>
      </c>
      <c r="F21" s="351" t="s">
        <v>163</v>
      </c>
      <c r="G21" s="351" t="s">
        <v>164</v>
      </c>
      <c r="H21" s="351" t="s">
        <v>221</v>
      </c>
      <c r="I21" s="351" t="s">
        <v>220</v>
      </c>
      <c r="J21" s="352" t="s">
        <v>161</v>
      </c>
    </row>
    <row r="22" spans="1:10" ht="23.25" x14ac:dyDescent="0.2">
      <c r="A22" s="355" t="s">
        <v>623</v>
      </c>
      <c r="B22" s="356"/>
      <c r="C22" s="357"/>
      <c r="D22" s="357"/>
      <c r="E22" s="359"/>
      <c r="F22" s="359"/>
      <c r="G22" s="359"/>
      <c r="H22" s="359"/>
      <c r="I22" s="359"/>
      <c r="J22" s="360"/>
    </row>
    <row r="23" spans="1:10" ht="24" thickBot="1" x14ac:dyDescent="0.25">
      <c r="A23" s="425" t="s">
        <v>165</v>
      </c>
      <c r="B23" s="426"/>
      <c r="C23" s="361"/>
      <c r="D23" s="362" t="s">
        <v>166</v>
      </c>
      <c r="E23" s="427"/>
      <c r="F23" s="427"/>
      <c r="G23" s="427"/>
      <c r="H23" s="427"/>
      <c r="I23" s="427"/>
      <c r="J23" s="428"/>
    </row>
    <row r="24" spans="1:10" ht="12" customHeight="1" thickBot="1" x14ac:dyDescent="0.25">
      <c r="A24" s="367"/>
    </row>
    <row r="25" spans="1:10" x14ac:dyDescent="0.2">
      <c r="A25" s="348"/>
      <c r="B25" s="349" t="s">
        <v>60</v>
      </c>
      <c r="C25" s="350" t="s">
        <v>96</v>
      </c>
      <c r="D25" s="350" t="s">
        <v>97</v>
      </c>
      <c r="E25" s="351" t="s">
        <v>162</v>
      </c>
      <c r="F25" s="351" t="s">
        <v>163</v>
      </c>
      <c r="G25" s="351" t="s">
        <v>164</v>
      </c>
      <c r="H25" s="351" t="s">
        <v>221</v>
      </c>
      <c r="I25" s="351" t="s">
        <v>220</v>
      </c>
      <c r="J25" s="352" t="s">
        <v>161</v>
      </c>
    </row>
    <row r="26" spans="1:10" ht="23.25" x14ac:dyDescent="0.2">
      <c r="A26" s="355" t="s">
        <v>623</v>
      </c>
      <c r="B26" s="356"/>
      <c r="C26" s="357"/>
      <c r="D26" s="357"/>
      <c r="E26" s="358"/>
      <c r="F26" s="359"/>
      <c r="G26" s="359"/>
      <c r="H26" s="359"/>
      <c r="I26" s="359"/>
      <c r="J26" s="360"/>
    </row>
    <row r="27" spans="1:10" ht="24" thickBot="1" x14ac:dyDescent="0.25">
      <c r="A27" s="425" t="s">
        <v>165</v>
      </c>
      <c r="B27" s="426"/>
      <c r="C27" s="361"/>
      <c r="D27" s="362" t="s">
        <v>166</v>
      </c>
      <c r="E27" s="427"/>
      <c r="F27" s="427"/>
      <c r="G27" s="427"/>
      <c r="H27" s="427"/>
      <c r="I27" s="427"/>
      <c r="J27" s="428"/>
    </row>
    <row r="28" spans="1:10" ht="13.5" thickBot="1" x14ac:dyDescent="0.25"/>
    <row r="29" spans="1:10" x14ac:dyDescent="0.2">
      <c r="A29" s="348"/>
      <c r="B29" s="349" t="s">
        <v>60</v>
      </c>
      <c r="C29" s="350" t="s">
        <v>96</v>
      </c>
      <c r="D29" s="350" t="s">
        <v>97</v>
      </c>
      <c r="E29" s="351" t="s">
        <v>162</v>
      </c>
      <c r="F29" s="351" t="s">
        <v>163</v>
      </c>
      <c r="G29" s="351" t="s">
        <v>164</v>
      </c>
      <c r="H29" s="351" t="s">
        <v>221</v>
      </c>
      <c r="I29" s="351" t="s">
        <v>220</v>
      </c>
      <c r="J29" s="352" t="s">
        <v>161</v>
      </c>
    </row>
    <row r="30" spans="1:10" ht="23.25" x14ac:dyDescent="0.2">
      <c r="A30" s="355" t="s">
        <v>623</v>
      </c>
      <c r="B30" s="356"/>
      <c r="C30" s="357"/>
      <c r="D30" s="357"/>
      <c r="E30" s="359"/>
      <c r="F30" s="359"/>
      <c r="G30" s="359"/>
      <c r="H30" s="359"/>
      <c r="I30" s="359"/>
      <c r="J30" s="360"/>
    </row>
    <row r="31" spans="1:10" ht="24" thickBot="1" x14ac:dyDescent="0.25">
      <c r="A31" s="425" t="s">
        <v>165</v>
      </c>
      <c r="B31" s="426"/>
      <c r="C31" s="361"/>
      <c r="D31" s="362" t="s">
        <v>166</v>
      </c>
      <c r="E31" s="427"/>
      <c r="F31" s="427"/>
      <c r="G31" s="427"/>
      <c r="H31" s="427"/>
      <c r="I31" s="427"/>
      <c r="J31" s="428"/>
    </row>
    <row r="32" spans="1:10" ht="13.5" thickBot="1" x14ac:dyDescent="0.25">
      <c r="A32" s="367"/>
    </row>
    <row r="33" spans="1:10" x14ac:dyDescent="0.2">
      <c r="A33" s="348"/>
      <c r="B33" s="349" t="s">
        <v>60</v>
      </c>
      <c r="C33" s="350" t="s">
        <v>96</v>
      </c>
      <c r="D33" s="350" t="s">
        <v>97</v>
      </c>
      <c r="E33" s="351" t="s">
        <v>162</v>
      </c>
      <c r="F33" s="351" t="s">
        <v>163</v>
      </c>
      <c r="G33" s="351" t="s">
        <v>164</v>
      </c>
      <c r="H33" s="351" t="s">
        <v>221</v>
      </c>
      <c r="I33" s="351" t="s">
        <v>220</v>
      </c>
      <c r="J33" s="352" t="s">
        <v>161</v>
      </c>
    </row>
    <row r="34" spans="1:10" ht="23.25" x14ac:dyDescent="0.2">
      <c r="A34" s="355" t="s">
        <v>623</v>
      </c>
      <c r="B34" s="356"/>
      <c r="C34" s="357"/>
      <c r="D34" s="357"/>
      <c r="E34" s="359"/>
      <c r="F34" s="359"/>
      <c r="G34" s="359"/>
      <c r="H34" s="359"/>
      <c r="I34" s="359"/>
      <c r="J34" s="360"/>
    </row>
    <row r="35" spans="1:10" ht="24" thickBot="1" x14ac:dyDescent="0.25">
      <c r="A35" s="425" t="s">
        <v>165</v>
      </c>
      <c r="B35" s="426"/>
      <c r="C35" s="361"/>
      <c r="D35" s="362" t="s">
        <v>166</v>
      </c>
      <c r="E35" s="427"/>
      <c r="F35" s="427"/>
      <c r="G35" s="427"/>
      <c r="H35" s="427"/>
      <c r="I35" s="427"/>
      <c r="J35" s="428"/>
    </row>
    <row r="36" spans="1:10" ht="13.5" thickBot="1" x14ac:dyDescent="0.25">
      <c r="A36" s="367"/>
    </row>
    <row r="37" spans="1:10" x14ac:dyDescent="0.2">
      <c r="A37" s="348"/>
      <c r="B37" s="349" t="s">
        <v>60</v>
      </c>
      <c r="C37" s="350" t="s">
        <v>96</v>
      </c>
      <c r="D37" s="350" t="s">
        <v>97</v>
      </c>
      <c r="E37" s="351" t="s">
        <v>162</v>
      </c>
      <c r="F37" s="351" t="s">
        <v>163</v>
      </c>
      <c r="G37" s="351" t="s">
        <v>164</v>
      </c>
      <c r="H37" s="351" t="s">
        <v>221</v>
      </c>
      <c r="I37" s="351" t="s">
        <v>220</v>
      </c>
      <c r="J37" s="352" t="s">
        <v>161</v>
      </c>
    </row>
    <row r="38" spans="1:10" ht="23.25" x14ac:dyDescent="0.2">
      <c r="A38" s="355" t="s">
        <v>623</v>
      </c>
      <c r="B38" s="356"/>
      <c r="C38" s="357"/>
      <c r="D38" s="357"/>
      <c r="E38" s="359"/>
      <c r="F38" s="359"/>
      <c r="G38" s="359"/>
      <c r="H38" s="359"/>
      <c r="I38" s="359"/>
      <c r="J38" s="360"/>
    </row>
    <row r="39" spans="1:10" ht="24" thickBot="1" x14ac:dyDescent="0.25">
      <c r="A39" s="425" t="s">
        <v>165</v>
      </c>
      <c r="B39" s="426"/>
      <c r="C39" s="361"/>
      <c r="D39" s="362" t="s">
        <v>166</v>
      </c>
      <c r="E39" s="427"/>
      <c r="F39" s="427"/>
      <c r="G39" s="427"/>
      <c r="H39" s="427"/>
      <c r="I39" s="427"/>
      <c r="J39" s="428"/>
    </row>
    <row r="40" spans="1:10" ht="13.5" thickBot="1" x14ac:dyDescent="0.25">
      <c r="A40" s="367"/>
    </row>
    <row r="41" spans="1:10" x14ac:dyDescent="0.2">
      <c r="A41" s="348"/>
      <c r="B41" s="349" t="s">
        <v>60</v>
      </c>
      <c r="C41" s="350" t="s">
        <v>96</v>
      </c>
      <c r="D41" s="350" t="s">
        <v>97</v>
      </c>
      <c r="E41" s="351" t="s">
        <v>162</v>
      </c>
      <c r="F41" s="351" t="s">
        <v>163</v>
      </c>
      <c r="G41" s="351" t="s">
        <v>164</v>
      </c>
      <c r="H41" s="351" t="s">
        <v>221</v>
      </c>
      <c r="I41" s="351" t="s">
        <v>220</v>
      </c>
      <c r="J41" s="352" t="s">
        <v>161</v>
      </c>
    </row>
    <row r="42" spans="1:10" ht="23.25" x14ac:dyDescent="0.2">
      <c r="A42" s="355" t="s">
        <v>623</v>
      </c>
      <c r="B42" s="356"/>
      <c r="C42" s="357"/>
      <c r="D42" s="357"/>
      <c r="E42" s="359"/>
      <c r="F42" s="359"/>
      <c r="G42" s="359"/>
      <c r="H42" s="359"/>
      <c r="I42" s="359"/>
      <c r="J42" s="360"/>
    </row>
    <row r="43" spans="1:10" ht="24" thickBot="1" x14ac:dyDescent="0.25">
      <c r="A43" s="425" t="s">
        <v>165</v>
      </c>
      <c r="B43" s="426"/>
      <c r="C43" s="361"/>
      <c r="D43" s="362" t="s">
        <v>166</v>
      </c>
      <c r="E43" s="427"/>
      <c r="F43" s="427"/>
      <c r="G43" s="427"/>
      <c r="H43" s="427"/>
      <c r="I43" s="427"/>
      <c r="J43" s="428"/>
    </row>
    <row r="44" spans="1:10" ht="13.5" thickBot="1" x14ac:dyDescent="0.25"/>
    <row r="45" spans="1:10" x14ac:dyDescent="0.2">
      <c r="A45" s="348"/>
      <c r="B45" s="349" t="s">
        <v>60</v>
      </c>
      <c r="C45" s="350" t="s">
        <v>96</v>
      </c>
      <c r="D45" s="350" t="s">
        <v>97</v>
      </c>
      <c r="E45" s="351" t="s">
        <v>162</v>
      </c>
      <c r="F45" s="351" t="s">
        <v>163</v>
      </c>
      <c r="G45" s="351" t="s">
        <v>164</v>
      </c>
      <c r="H45" s="351" t="s">
        <v>221</v>
      </c>
      <c r="I45" s="351" t="s">
        <v>220</v>
      </c>
      <c r="J45" s="352" t="s">
        <v>161</v>
      </c>
    </row>
    <row r="46" spans="1:10" ht="23.25" x14ac:dyDescent="0.2">
      <c r="A46" s="355" t="s">
        <v>623</v>
      </c>
      <c r="B46" s="356"/>
      <c r="C46" s="357"/>
      <c r="D46" s="357"/>
      <c r="E46" s="359"/>
      <c r="F46" s="359"/>
      <c r="G46" s="359"/>
      <c r="H46" s="359"/>
      <c r="I46" s="359"/>
      <c r="J46" s="360"/>
    </row>
    <row r="47" spans="1:10" ht="24" thickBot="1" x14ac:dyDescent="0.25">
      <c r="A47" s="425" t="s">
        <v>165</v>
      </c>
      <c r="B47" s="426"/>
      <c r="C47" s="361"/>
      <c r="D47" s="362" t="s">
        <v>166</v>
      </c>
      <c r="E47" s="427"/>
      <c r="F47" s="427"/>
      <c r="G47" s="427"/>
      <c r="H47" s="427"/>
      <c r="I47" s="427"/>
      <c r="J47" s="428"/>
    </row>
    <row r="48" spans="1:10" x14ac:dyDescent="0.2">
      <c r="A48" s="348"/>
      <c r="B48" s="349" t="s">
        <v>60</v>
      </c>
      <c r="C48" s="350" t="s">
        <v>96</v>
      </c>
      <c r="D48" s="350" t="s">
        <v>97</v>
      </c>
      <c r="E48" s="351" t="s">
        <v>162</v>
      </c>
      <c r="F48" s="351" t="s">
        <v>163</v>
      </c>
      <c r="G48" s="351" t="s">
        <v>164</v>
      </c>
      <c r="H48" s="351" t="s">
        <v>221</v>
      </c>
      <c r="I48" s="351" t="s">
        <v>220</v>
      </c>
      <c r="J48" s="352" t="s">
        <v>161</v>
      </c>
    </row>
    <row r="49" spans="1:10" ht="23.25" x14ac:dyDescent="0.2">
      <c r="A49" s="355" t="s">
        <v>623</v>
      </c>
      <c r="B49" s="356"/>
      <c r="C49" s="357"/>
      <c r="D49" s="357"/>
      <c r="E49" s="358"/>
      <c r="F49" s="359"/>
      <c r="G49" s="359"/>
      <c r="H49" s="359"/>
      <c r="I49" s="359"/>
      <c r="J49" s="360"/>
    </row>
    <row r="50" spans="1:10" ht="24" thickBot="1" x14ac:dyDescent="0.25">
      <c r="A50" s="425" t="s">
        <v>165</v>
      </c>
      <c r="B50" s="426"/>
      <c r="C50" s="361"/>
      <c r="D50" s="362" t="s">
        <v>166</v>
      </c>
      <c r="E50" s="427"/>
      <c r="F50" s="427"/>
      <c r="G50" s="427"/>
      <c r="H50" s="427"/>
      <c r="I50" s="427"/>
      <c r="J50" s="428"/>
    </row>
    <row r="51" spans="1:10" ht="13.5" thickBot="1" x14ac:dyDescent="0.25"/>
    <row r="52" spans="1:10" x14ac:dyDescent="0.2">
      <c r="A52" s="348"/>
      <c r="B52" s="349" t="s">
        <v>60</v>
      </c>
      <c r="C52" s="350" t="s">
        <v>96</v>
      </c>
      <c r="D52" s="350" t="s">
        <v>97</v>
      </c>
      <c r="E52" s="351" t="s">
        <v>162</v>
      </c>
      <c r="F52" s="351" t="s">
        <v>163</v>
      </c>
      <c r="G52" s="351" t="s">
        <v>164</v>
      </c>
      <c r="H52" s="351" t="s">
        <v>221</v>
      </c>
      <c r="I52" s="351" t="s">
        <v>220</v>
      </c>
      <c r="J52" s="352" t="s">
        <v>161</v>
      </c>
    </row>
    <row r="53" spans="1:10" ht="23.25" x14ac:dyDescent="0.2">
      <c r="A53" s="355" t="s">
        <v>623</v>
      </c>
      <c r="B53" s="356"/>
      <c r="C53" s="357"/>
      <c r="D53" s="357"/>
      <c r="E53" s="359"/>
      <c r="F53" s="359"/>
      <c r="G53" s="359"/>
      <c r="H53" s="359"/>
      <c r="I53" s="359"/>
      <c r="J53" s="360"/>
    </row>
    <row r="54" spans="1:10" ht="24" thickBot="1" x14ac:dyDescent="0.25">
      <c r="A54" s="425" t="s">
        <v>165</v>
      </c>
      <c r="B54" s="426"/>
      <c r="C54" s="361"/>
      <c r="D54" s="362" t="s">
        <v>166</v>
      </c>
      <c r="E54" s="427"/>
      <c r="F54" s="427"/>
      <c r="G54" s="427"/>
      <c r="H54" s="427"/>
      <c r="I54" s="427"/>
      <c r="J54" s="428"/>
    </row>
    <row r="55" spans="1:10" ht="13.5" thickBot="1" x14ac:dyDescent="0.25">
      <c r="A55" s="367"/>
    </row>
    <row r="56" spans="1:10" x14ac:dyDescent="0.2">
      <c r="A56" s="348"/>
      <c r="B56" s="349" t="s">
        <v>60</v>
      </c>
      <c r="C56" s="350" t="s">
        <v>96</v>
      </c>
      <c r="D56" s="350" t="s">
        <v>97</v>
      </c>
      <c r="E56" s="351" t="s">
        <v>162</v>
      </c>
      <c r="F56" s="351" t="s">
        <v>163</v>
      </c>
      <c r="G56" s="351" t="s">
        <v>164</v>
      </c>
      <c r="H56" s="351" t="s">
        <v>221</v>
      </c>
      <c r="I56" s="351" t="s">
        <v>220</v>
      </c>
      <c r="J56" s="352" t="s">
        <v>161</v>
      </c>
    </row>
    <row r="57" spans="1:10" ht="23.25" x14ac:dyDescent="0.2">
      <c r="A57" s="355" t="s">
        <v>623</v>
      </c>
      <c r="B57" s="356"/>
      <c r="C57" s="357"/>
      <c r="D57" s="357"/>
      <c r="E57" s="359"/>
      <c r="F57" s="359"/>
      <c r="G57" s="359"/>
      <c r="H57" s="359"/>
      <c r="I57" s="359"/>
      <c r="J57" s="360"/>
    </row>
    <row r="58" spans="1:10" ht="24" thickBot="1" x14ac:dyDescent="0.25">
      <c r="A58" s="425" t="s">
        <v>165</v>
      </c>
      <c r="B58" s="426"/>
      <c r="C58" s="361"/>
      <c r="D58" s="362" t="s">
        <v>166</v>
      </c>
      <c r="E58" s="427"/>
      <c r="F58" s="427"/>
      <c r="G58" s="427"/>
      <c r="H58" s="427"/>
      <c r="I58" s="427"/>
      <c r="J58" s="428"/>
    </row>
    <row r="59" spans="1:10" ht="13.5" thickBot="1" x14ac:dyDescent="0.25"/>
    <row r="60" spans="1:10" x14ac:dyDescent="0.2">
      <c r="A60" s="348"/>
      <c r="B60" s="349" t="s">
        <v>60</v>
      </c>
      <c r="C60" s="350" t="s">
        <v>96</v>
      </c>
      <c r="D60" s="350" t="s">
        <v>97</v>
      </c>
      <c r="E60" s="351" t="s">
        <v>162</v>
      </c>
      <c r="F60" s="351" t="s">
        <v>163</v>
      </c>
      <c r="G60" s="351" t="s">
        <v>164</v>
      </c>
      <c r="H60" s="351" t="s">
        <v>221</v>
      </c>
      <c r="I60" s="351" t="s">
        <v>220</v>
      </c>
      <c r="J60" s="352" t="s">
        <v>161</v>
      </c>
    </row>
    <row r="61" spans="1:10" ht="23.25" x14ac:dyDescent="0.2">
      <c r="A61" s="355" t="s">
        <v>623</v>
      </c>
      <c r="B61" s="356"/>
      <c r="C61" s="357"/>
      <c r="D61" s="357"/>
      <c r="E61" s="359"/>
      <c r="F61" s="359"/>
      <c r="G61" s="359"/>
      <c r="H61" s="359"/>
      <c r="I61" s="359"/>
      <c r="J61" s="360"/>
    </row>
    <row r="62" spans="1:10" ht="24" thickBot="1" x14ac:dyDescent="0.25">
      <c r="A62" s="425" t="s">
        <v>165</v>
      </c>
      <c r="B62" s="426"/>
      <c r="C62" s="361"/>
      <c r="D62" s="362" t="s">
        <v>166</v>
      </c>
      <c r="E62" s="427"/>
      <c r="F62" s="427"/>
      <c r="G62" s="427"/>
      <c r="H62" s="427"/>
      <c r="I62" s="427"/>
      <c r="J62" s="428"/>
    </row>
    <row r="63" spans="1:10" ht="13.5" thickBot="1" x14ac:dyDescent="0.25">
      <c r="A63" s="367"/>
    </row>
    <row r="64" spans="1:10" x14ac:dyDescent="0.2">
      <c r="A64" s="348"/>
      <c r="B64" s="349" t="s">
        <v>60</v>
      </c>
      <c r="C64" s="350" t="s">
        <v>96</v>
      </c>
      <c r="D64" s="350" t="s">
        <v>97</v>
      </c>
      <c r="E64" s="351" t="s">
        <v>162</v>
      </c>
      <c r="F64" s="351" t="s">
        <v>163</v>
      </c>
      <c r="G64" s="351" t="s">
        <v>164</v>
      </c>
      <c r="H64" s="351" t="s">
        <v>221</v>
      </c>
      <c r="I64" s="351" t="s">
        <v>220</v>
      </c>
      <c r="J64" s="352" t="s">
        <v>161</v>
      </c>
    </row>
    <row r="65" spans="1:10" ht="23.25" x14ac:dyDescent="0.2">
      <c r="A65" s="355" t="str">
        <f>'B-32D-pavouk'!E6</f>
        <v>33-48</v>
      </c>
      <c r="B65" s="356"/>
      <c r="C65" s="357"/>
      <c r="D65" s="357"/>
      <c r="E65" s="359"/>
      <c r="F65" s="359"/>
      <c r="G65" s="359"/>
      <c r="H65" s="359"/>
      <c r="I65" s="359"/>
      <c r="J65" s="360"/>
    </row>
    <row r="66" spans="1:10" ht="24" thickBot="1" x14ac:dyDescent="0.25">
      <c r="A66" s="425" t="s">
        <v>165</v>
      </c>
      <c r="B66" s="426"/>
      <c r="C66" s="361"/>
      <c r="D66" s="362" t="s">
        <v>166</v>
      </c>
      <c r="E66" s="427"/>
      <c r="F66" s="427"/>
      <c r="G66" s="427"/>
      <c r="H66" s="427"/>
      <c r="I66" s="427"/>
      <c r="J66" s="428"/>
    </row>
    <row r="67" spans="1:10" ht="13.5" thickBot="1" x14ac:dyDescent="0.25"/>
    <row r="68" spans="1:10" x14ac:dyDescent="0.2">
      <c r="A68" s="348"/>
      <c r="B68" s="349" t="s">
        <v>60</v>
      </c>
      <c r="C68" s="350" t="s">
        <v>96</v>
      </c>
      <c r="D68" s="350" t="s">
        <v>97</v>
      </c>
      <c r="E68" s="351" t="s">
        <v>162</v>
      </c>
      <c r="F68" s="351" t="s">
        <v>163</v>
      </c>
      <c r="G68" s="351" t="s">
        <v>164</v>
      </c>
      <c r="H68" s="351" t="s">
        <v>221</v>
      </c>
      <c r="I68" s="351" t="s">
        <v>220</v>
      </c>
      <c r="J68" s="352" t="s">
        <v>161</v>
      </c>
    </row>
    <row r="69" spans="1:10" ht="23.25" x14ac:dyDescent="0.2">
      <c r="A69" s="355" t="str">
        <f>'B-32D-pavouk'!E12</f>
        <v>33-48</v>
      </c>
      <c r="B69" s="356"/>
      <c r="C69" s="357"/>
      <c r="D69" s="357"/>
      <c r="E69" s="359"/>
      <c r="F69" s="359"/>
      <c r="G69" s="359"/>
      <c r="H69" s="359"/>
      <c r="I69" s="359"/>
      <c r="J69" s="360"/>
    </row>
    <row r="70" spans="1:10" ht="24" thickBot="1" x14ac:dyDescent="0.25">
      <c r="A70" s="425" t="s">
        <v>165</v>
      </c>
      <c r="B70" s="426"/>
      <c r="C70" s="361"/>
      <c r="D70" s="362" t="s">
        <v>166</v>
      </c>
      <c r="E70" s="427"/>
      <c r="F70" s="427"/>
      <c r="G70" s="427"/>
      <c r="H70" s="427"/>
      <c r="I70" s="427"/>
      <c r="J70" s="428"/>
    </row>
    <row r="71" spans="1:10" ht="13.5" thickBot="1" x14ac:dyDescent="0.25">
      <c r="A71" s="367"/>
    </row>
    <row r="72" spans="1:10" x14ac:dyDescent="0.2">
      <c r="A72" s="348"/>
      <c r="B72" s="349" t="s">
        <v>60</v>
      </c>
      <c r="C72" s="350" t="s">
        <v>96</v>
      </c>
      <c r="D72" s="350" t="s">
        <v>97</v>
      </c>
      <c r="E72" s="351" t="s">
        <v>162</v>
      </c>
      <c r="F72" s="351" t="s">
        <v>163</v>
      </c>
      <c r="G72" s="351" t="s">
        <v>164</v>
      </c>
      <c r="H72" s="351" t="s">
        <v>221</v>
      </c>
      <c r="I72" s="351" t="s">
        <v>220</v>
      </c>
      <c r="J72" s="352" t="s">
        <v>161</v>
      </c>
    </row>
    <row r="73" spans="1:10" ht="23.25" x14ac:dyDescent="0.2">
      <c r="A73" s="355" t="str">
        <f>'B-32D-pavouk'!E18</f>
        <v>33-48</v>
      </c>
      <c r="B73" s="356"/>
      <c r="C73" s="357"/>
      <c r="D73" s="357"/>
      <c r="E73" s="358"/>
      <c r="F73" s="359"/>
      <c r="G73" s="359"/>
      <c r="H73" s="359"/>
      <c r="I73" s="359"/>
      <c r="J73" s="360"/>
    </row>
    <row r="74" spans="1:10" ht="24" thickBot="1" x14ac:dyDescent="0.25">
      <c r="A74" s="425" t="s">
        <v>165</v>
      </c>
      <c r="B74" s="426"/>
      <c r="C74" s="361"/>
      <c r="D74" s="362" t="s">
        <v>166</v>
      </c>
      <c r="E74" s="427"/>
      <c r="F74" s="427"/>
      <c r="G74" s="427"/>
      <c r="H74" s="427"/>
      <c r="I74" s="427"/>
      <c r="J74" s="428"/>
    </row>
    <row r="75" spans="1:10" ht="13.5" thickBot="1" x14ac:dyDescent="0.25"/>
    <row r="76" spans="1:10" x14ac:dyDescent="0.2">
      <c r="A76" s="348"/>
      <c r="B76" s="349" t="s">
        <v>60</v>
      </c>
      <c r="C76" s="350" t="s">
        <v>96</v>
      </c>
      <c r="D76" s="350" t="s">
        <v>97</v>
      </c>
      <c r="E76" s="351" t="s">
        <v>162</v>
      </c>
      <c r="F76" s="351" t="s">
        <v>163</v>
      </c>
      <c r="G76" s="351" t="s">
        <v>164</v>
      </c>
      <c r="H76" s="351" t="s">
        <v>221</v>
      </c>
      <c r="I76" s="351" t="s">
        <v>220</v>
      </c>
      <c r="J76" s="352" t="s">
        <v>161</v>
      </c>
    </row>
    <row r="77" spans="1:10" ht="23.25" x14ac:dyDescent="0.2">
      <c r="A77" s="355" t="str">
        <f>'B-32D-pavouk'!E24</f>
        <v>33-48</v>
      </c>
      <c r="B77" s="356"/>
      <c r="C77" s="357"/>
      <c r="D77" s="357"/>
      <c r="E77" s="359"/>
      <c r="F77" s="359"/>
      <c r="G77" s="359"/>
      <c r="H77" s="359"/>
      <c r="I77" s="359"/>
      <c r="J77" s="360"/>
    </row>
    <row r="78" spans="1:10" ht="24" thickBot="1" x14ac:dyDescent="0.25">
      <c r="A78" s="425" t="s">
        <v>165</v>
      </c>
      <c r="B78" s="426"/>
      <c r="C78" s="361"/>
      <c r="D78" s="362" t="s">
        <v>166</v>
      </c>
      <c r="E78" s="427"/>
      <c r="F78" s="427"/>
      <c r="G78" s="427"/>
      <c r="H78" s="427"/>
      <c r="I78" s="427"/>
      <c r="J78" s="428"/>
    </row>
    <row r="79" spans="1:10" ht="13.5" thickBot="1" x14ac:dyDescent="0.25">
      <c r="A79" s="367"/>
    </row>
    <row r="80" spans="1:10" x14ac:dyDescent="0.2">
      <c r="A80" s="348"/>
      <c r="B80" s="349" t="s">
        <v>60</v>
      </c>
      <c r="C80" s="350" t="s">
        <v>96</v>
      </c>
      <c r="D80" s="350" t="s">
        <v>97</v>
      </c>
      <c r="E80" s="351" t="s">
        <v>162</v>
      </c>
      <c r="F80" s="351" t="s">
        <v>163</v>
      </c>
      <c r="G80" s="351" t="s">
        <v>164</v>
      </c>
      <c r="H80" s="351" t="s">
        <v>221</v>
      </c>
      <c r="I80" s="351" t="s">
        <v>220</v>
      </c>
      <c r="J80" s="352" t="s">
        <v>161</v>
      </c>
    </row>
    <row r="81" spans="1:19" ht="23.25" x14ac:dyDescent="0.2">
      <c r="A81" s="355" t="str">
        <f>'B-32D-pavouk'!E30</f>
        <v>33-48</v>
      </c>
      <c r="B81" s="356"/>
      <c r="C81" s="357"/>
      <c r="D81" s="357"/>
      <c r="E81" s="359"/>
      <c r="F81" s="359"/>
      <c r="G81" s="359"/>
      <c r="H81" s="359"/>
      <c r="I81" s="359"/>
      <c r="J81" s="360"/>
    </row>
    <row r="82" spans="1:19" ht="24" thickBot="1" x14ac:dyDescent="0.25">
      <c r="A82" s="425" t="s">
        <v>165</v>
      </c>
      <c r="B82" s="426"/>
      <c r="C82" s="361"/>
      <c r="D82" s="362" t="s">
        <v>166</v>
      </c>
      <c r="E82" s="427"/>
      <c r="F82" s="427"/>
      <c r="G82" s="427"/>
      <c r="H82" s="427"/>
      <c r="I82" s="427"/>
      <c r="J82" s="428"/>
    </row>
    <row r="83" spans="1:19" ht="13.5" thickBot="1" x14ac:dyDescent="0.25">
      <c r="A83" s="367"/>
    </row>
    <row r="84" spans="1:19" x14ac:dyDescent="0.2">
      <c r="A84" s="348"/>
      <c r="B84" s="349" t="s">
        <v>60</v>
      </c>
      <c r="C84" s="350" t="s">
        <v>96</v>
      </c>
      <c r="D84" s="350" t="s">
        <v>97</v>
      </c>
      <c r="E84" s="351" t="s">
        <v>162</v>
      </c>
      <c r="F84" s="351" t="s">
        <v>163</v>
      </c>
      <c r="G84" s="351" t="s">
        <v>164</v>
      </c>
      <c r="H84" s="351" t="s">
        <v>221</v>
      </c>
      <c r="I84" s="351" t="s">
        <v>220</v>
      </c>
      <c r="J84" s="352" t="s">
        <v>161</v>
      </c>
    </row>
    <row r="85" spans="1:19" ht="23.25" x14ac:dyDescent="0.2">
      <c r="A85" s="355" t="str">
        <f>'B-32D-pavouk'!E36</f>
        <v>33-48</v>
      </c>
      <c r="B85" s="356"/>
      <c r="C85" s="357"/>
      <c r="D85" s="357"/>
      <c r="E85" s="359"/>
      <c r="F85" s="359"/>
      <c r="G85" s="359"/>
      <c r="H85" s="359"/>
      <c r="I85" s="359"/>
      <c r="J85" s="360"/>
    </row>
    <row r="86" spans="1:19" ht="24" thickBot="1" x14ac:dyDescent="0.25">
      <c r="A86" s="425" t="s">
        <v>165</v>
      </c>
      <c r="B86" s="426"/>
      <c r="C86" s="361"/>
      <c r="D86" s="362" t="s">
        <v>166</v>
      </c>
      <c r="E86" s="427"/>
      <c r="F86" s="427"/>
      <c r="G86" s="427"/>
      <c r="H86" s="427"/>
      <c r="I86" s="427"/>
      <c r="J86" s="428"/>
    </row>
    <row r="87" spans="1:19" ht="13.5" thickBot="1" x14ac:dyDescent="0.25">
      <c r="A87" s="367"/>
    </row>
    <row r="88" spans="1:19" x14ac:dyDescent="0.2">
      <c r="A88" s="348"/>
      <c r="B88" s="349" t="s">
        <v>60</v>
      </c>
      <c r="C88" s="350" t="s">
        <v>96</v>
      </c>
      <c r="D88" s="350" t="s">
        <v>97</v>
      </c>
      <c r="E88" s="351" t="s">
        <v>162</v>
      </c>
      <c r="F88" s="351" t="s">
        <v>163</v>
      </c>
      <c r="G88" s="351" t="s">
        <v>164</v>
      </c>
      <c r="H88" s="351" t="s">
        <v>221</v>
      </c>
      <c r="I88" s="351" t="s">
        <v>220</v>
      </c>
      <c r="J88" s="352" t="s">
        <v>161</v>
      </c>
    </row>
    <row r="89" spans="1:19" ht="23.25" x14ac:dyDescent="0.2">
      <c r="A89" s="355" t="str">
        <f>'B-32D-pavouk'!E42</f>
        <v>33-48</v>
      </c>
      <c r="B89" s="356"/>
      <c r="C89" s="357"/>
      <c r="D89" s="357"/>
      <c r="E89" s="359"/>
      <c r="F89" s="359"/>
      <c r="G89" s="359"/>
      <c r="H89" s="359"/>
      <c r="I89" s="359"/>
      <c r="J89" s="360"/>
    </row>
    <row r="90" spans="1:19" ht="24" thickBot="1" x14ac:dyDescent="0.25">
      <c r="A90" s="425" t="s">
        <v>165</v>
      </c>
      <c r="B90" s="426"/>
      <c r="C90" s="361"/>
      <c r="D90" s="362" t="s">
        <v>166</v>
      </c>
      <c r="E90" s="427"/>
      <c r="F90" s="427"/>
      <c r="G90" s="427"/>
      <c r="H90" s="427"/>
      <c r="I90" s="427"/>
      <c r="J90" s="428"/>
    </row>
    <row r="91" spans="1:19" ht="13.5" thickBot="1" x14ac:dyDescent="0.25"/>
    <row r="92" spans="1:19" x14ac:dyDescent="0.2">
      <c r="A92" s="348"/>
      <c r="B92" s="349" t="s">
        <v>60</v>
      </c>
      <c r="C92" s="350" t="s">
        <v>96</v>
      </c>
      <c r="D92" s="350" t="s">
        <v>97</v>
      </c>
      <c r="E92" s="351" t="s">
        <v>162</v>
      </c>
      <c r="F92" s="351" t="s">
        <v>163</v>
      </c>
      <c r="G92" s="351" t="s">
        <v>164</v>
      </c>
      <c r="H92" s="351" t="s">
        <v>221</v>
      </c>
      <c r="I92" s="351" t="s">
        <v>220</v>
      </c>
      <c r="J92" s="352" t="s">
        <v>161</v>
      </c>
    </row>
    <row r="93" spans="1:19" ht="23.25" x14ac:dyDescent="0.2">
      <c r="A93" s="355" t="str">
        <f>'B-32D-pavouk'!E48</f>
        <v>33-48</v>
      </c>
      <c r="B93" s="356"/>
      <c r="C93" s="357"/>
      <c r="D93" s="357"/>
      <c r="E93" s="359"/>
      <c r="F93" s="359"/>
      <c r="G93" s="359"/>
      <c r="H93" s="359"/>
      <c r="I93" s="359"/>
      <c r="J93" s="360"/>
    </row>
    <row r="94" spans="1:19" ht="24" thickBot="1" x14ac:dyDescent="0.25">
      <c r="A94" s="425" t="s">
        <v>165</v>
      </c>
      <c r="B94" s="426"/>
      <c r="C94" s="361"/>
      <c r="D94" s="362" t="s">
        <v>166</v>
      </c>
      <c r="E94" s="427"/>
      <c r="F94" s="427"/>
      <c r="G94" s="427"/>
      <c r="H94" s="427"/>
      <c r="I94" s="427"/>
      <c r="J94" s="428"/>
    </row>
    <row r="95" spans="1:19" s="353" customFormat="1" ht="13.5" thickBot="1" x14ac:dyDescent="0.25">
      <c r="A95" s="367"/>
      <c r="B95" s="363"/>
      <c r="C95" s="364"/>
      <c r="D95" s="364"/>
      <c r="E95" s="354"/>
      <c r="F95" s="354"/>
      <c r="G95" s="354"/>
      <c r="H95" s="354"/>
      <c r="I95" s="354"/>
      <c r="J95" s="365"/>
      <c r="N95" s="354"/>
      <c r="O95" s="354"/>
      <c r="P95" s="354"/>
      <c r="Q95" s="354"/>
      <c r="R95" s="354"/>
      <c r="S95" s="365"/>
    </row>
    <row r="96" spans="1:19" s="353" customFormat="1" x14ac:dyDescent="0.2">
      <c r="A96" s="348"/>
      <c r="B96" s="349" t="s">
        <v>60</v>
      </c>
      <c r="C96" s="350" t="s">
        <v>96</v>
      </c>
      <c r="D96" s="350" t="s">
        <v>97</v>
      </c>
      <c r="E96" s="351" t="s">
        <v>162</v>
      </c>
      <c r="F96" s="351" t="s">
        <v>163</v>
      </c>
      <c r="G96" s="351" t="s">
        <v>164</v>
      </c>
      <c r="H96" s="351" t="s">
        <v>221</v>
      </c>
      <c r="I96" s="351" t="s">
        <v>220</v>
      </c>
      <c r="J96" s="352" t="s">
        <v>161</v>
      </c>
      <c r="N96" s="354"/>
      <c r="O96" s="354"/>
      <c r="P96" s="354"/>
      <c r="Q96" s="354"/>
      <c r="R96" s="354"/>
      <c r="S96" s="365"/>
    </row>
    <row r="97" spans="1:19" s="353" customFormat="1" ht="23.25" x14ac:dyDescent="0.2">
      <c r="A97" s="355" t="str">
        <f>'B-32D-pavouk'!H7</f>
        <v>33-40</v>
      </c>
      <c r="B97" s="356"/>
      <c r="C97" s="357"/>
      <c r="D97" s="357"/>
      <c r="E97" s="359"/>
      <c r="F97" s="359"/>
      <c r="G97" s="359"/>
      <c r="H97" s="359"/>
      <c r="I97" s="359"/>
      <c r="J97" s="360"/>
      <c r="N97" s="354"/>
      <c r="O97" s="354"/>
      <c r="P97" s="354"/>
      <c r="Q97" s="354"/>
      <c r="R97" s="354"/>
      <c r="S97" s="365"/>
    </row>
    <row r="98" spans="1:19" s="353" customFormat="1" ht="24" thickBot="1" x14ac:dyDescent="0.25">
      <c r="A98" s="425" t="s">
        <v>165</v>
      </c>
      <c r="B98" s="426"/>
      <c r="C98" s="361"/>
      <c r="D98" s="362" t="s">
        <v>166</v>
      </c>
      <c r="E98" s="427"/>
      <c r="F98" s="427"/>
      <c r="G98" s="427"/>
      <c r="H98" s="427"/>
      <c r="I98" s="427"/>
      <c r="J98" s="428"/>
      <c r="N98" s="354"/>
      <c r="O98" s="354"/>
      <c r="P98" s="354"/>
      <c r="Q98" s="354"/>
      <c r="R98" s="354"/>
      <c r="S98" s="365"/>
    </row>
    <row r="99" spans="1:19" s="353" customFormat="1" ht="13.5" thickBot="1" x14ac:dyDescent="0.25">
      <c r="A99" s="367"/>
      <c r="B99" s="363"/>
      <c r="C99" s="364"/>
      <c r="D99" s="364"/>
      <c r="E99" s="354"/>
      <c r="F99" s="354"/>
      <c r="G99" s="354"/>
      <c r="H99" s="354"/>
      <c r="I99" s="354"/>
      <c r="J99" s="365"/>
      <c r="N99" s="354"/>
      <c r="O99" s="354"/>
      <c r="P99" s="354"/>
      <c r="Q99" s="354"/>
      <c r="R99" s="354"/>
      <c r="S99" s="365"/>
    </row>
    <row r="100" spans="1:19" s="353" customFormat="1" x14ac:dyDescent="0.2">
      <c r="A100" s="348"/>
      <c r="B100" s="349" t="s">
        <v>60</v>
      </c>
      <c r="C100" s="350" t="s">
        <v>96</v>
      </c>
      <c r="D100" s="350" t="s">
        <v>97</v>
      </c>
      <c r="E100" s="351" t="s">
        <v>162</v>
      </c>
      <c r="F100" s="351" t="s">
        <v>163</v>
      </c>
      <c r="G100" s="351" t="s">
        <v>164</v>
      </c>
      <c r="H100" s="351" t="s">
        <v>221</v>
      </c>
      <c r="I100" s="351" t="s">
        <v>220</v>
      </c>
      <c r="J100" s="352" t="s">
        <v>161</v>
      </c>
      <c r="N100" s="354"/>
      <c r="O100" s="354"/>
      <c r="P100" s="354"/>
      <c r="Q100" s="354"/>
      <c r="R100" s="354"/>
      <c r="S100" s="365"/>
    </row>
    <row r="101" spans="1:19" s="353" customFormat="1" ht="23.25" x14ac:dyDescent="0.2">
      <c r="A101" s="355" t="str">
        <f>'B-32D-pavouk'!H19</f>
        <v>33-40</v>
      </c>
      <c r="B101" s="356"/>
      <c r="C101" s="357"/>
      <c r="D101" s="357"/>
      <c r="E101" s="359"/>
      <c r="F101" s="359"/>
      <c r="G101" s="359"/>
      <c r="H101" s="359"/>
      <c r="I101" s="359"/>
      <c r="J101" s="360"/>
      <c r="N101" s="354"/>
      <c r="O101" s="354"/>
      <c r="P101" s="354"/>
      <c r="Q101" s="354"/>
      <c r="R101" s="354"/>
      <c r="S101" s="365"/>
    </row>
    <row r="102" spans="1:19" s="353" customFormat="1" ht="24" thickBot="1" x14ac:dyDescent="0.25">
      <c r="A102" s="425" t="s">
        <v>165</v>
      </c>
      <c r="B102" s="426"/>
      <c r="C102" s="361"/>
      <c r="D102" s="362" t="s">
        <v>166</v>
      </c>
      <c r="E102" s="427"/>
      <c r="F102" s="427"/>
      <c r="G102" s="427"/>
      <c r="H102" s="427"/>
      <c r="I102" s="427"/>
      <c r="J102" s="428"/>
      <c r="N102" s="354"/>
      <c r="O102" s="354"/>
      <c r="P102" s="354"/>
      <c r="Q102" s="354"/>
      <c r="R102" s="354"/>
      <c r="S102" s="365"/>
    </row>
    <row r="103" spans="1:19" s="353" customFormat="1" ht="13.5" thickBot="1" x14ac:dyDescent="0.25">
      <c r="A103" s="367"/>
      <c r="B103" s="363"/>
      <c r="C103" s="364"/>
      <c r="D103" s="364"/>
      <c r="E103" s="354"/>
      <c r="F103" s="354"/>
      <c r="G103" s="354"/>
      <c r="H103" s="354"/>
      <c r="I103" s="354"/>
      <c r="J103" s="365"/>
      <c r="N103" s="354"/>
      <c r="O103" s="354"/>
      <c r="P103" s="354"/>
      <c r="Q103" s="354"/>
      <c r="R103" s="354"/>
      <c r="S103" s="365"/>
    </row>
    <row r="104" spans="1:19" s="353" customFormat="1" x14ac:dyDescent="0.2">
      <c r="A104" s="348"/>
      <c r="B104" s="349" t="s">
        <v>60</v>
      </c>
      <c r="C104" s="350" t="s">
        <v>96</v>
      </c>
      <c r="D104" s="350" t="s">
        <v>97</v>
      </c>
      <c r="E104" s="351" t="s">
        <v>162</v>
      </c>
      <c r="F104" s="351" t="s">
        <v>163</v>
      </c>
      <c r="G104" s="351" t="s">
        <v>164</v>
      </c>
      <c r="H104" s="351" t="s">
        <v>221</v>
      </c>
      <c r="I104" s="351" t="s">
        <v>220</v>
      </c>
      <c r="J104" s="352" t="s">
        <v>161</v>
      </c>
      <c r="N104" s="354"/>
      <c r="O104" s="354"/>
      <c r="P104" s="354"/>
      <c r="Q104" s="354"/>
      <c r="R104" s="354"/>
      <c r="S104" s="365"/>
    </row>
    <row r="105" spans="1:19" s="353" customFormat="1" ht="23.25" x14ac:dyDescent="0.2">
      <c r="A105" s="355" t="str">
        <f>'B-32D-pavouk'!H31</f>
        <v>33-40</v>
      </c>
      <c r="B105" s="356"/>
      <c r="C105" s="357"/>
      <c r="D105" s="357"/>
      <c r="E105" s="359"/>
      <c r="F105" s="359"/>
      <c r="G105" s="359"/>
      <c r="H105" s="359"/>
      <c r="I105" s="359"/>
      <c r="J105" s="360"/>
      <c r="N105" s="354"/>
      <c r="O105" s="354"/>
      <c r="P105" s="354"/>
      <c r="Q105" s="354"/>
      <c r="R105" s="354"/>
      <c r="S105" s="365"/>
    </row>
    <row r="106" spans="1:19" s="353" customFormat="1" ht="24" thickBot="1" x14ac:dyDescent="0.25">
      <c r="A106" s="425" t="s">
        <v>165</v>
      </c>
      <c r="B106" s="426"/>
      <c r="C106" s="361"/>
      <c r="D106" s="362" t="s">
        <v>166</v>
      </c>
      <c r="E106" s="427"/>
      <c r="F106" s="427"/>
      <c r="G106" s="427"/>
      <c r="H106" s="427"/>
      <c r="I106" s="427"/>
      <c r="J106" s="428"/>
      <c r="N106" s="354"/>
      <c r="O106" s="354"/>
      <c r="P106" s="354"/>
      <c r="Q106" s="354"/>
      <c r="R106" s="354"/>
      <c r="S106" s="365"/>
    </row>
    <row r="107" spans="1:19" s="353" customFormat="1" ht="13.5" thickBot="1" x14ac:dyDescent="0.25">
      <c r="A107" s="363"/>
      <c r="B107" s="363"/>
      <c r="C107" s="364"/>
      <c r="D107" s="364"/>
      <c r="E107" s="354"/>
      <c r="F107" s="354"/>
      <c r="G107" s="354"/>
      <c r="H107" s="354"/>
      <c r="I107" s="354"/>
      <c r="J107" s="365"/>
      <c r="N107" s="354"/>
      <c r="O107" s="354"/>
      <c r="P107" s="354"/>
      <c r="Q107" s="354"/>
      <c r="R107" s="354"/>
      <c r="S107" s="365"/>
    </row>
    <row r="108" spans="1:19" s="353" customFormat="1" x14ac:dyDescent="0.2">
      <c r="A108" s="348"/>
      <c r="B108" s="349" t="s">
        <v>60</v>
      </c>
      <c r="C108" s="350" t="s">
        <v>96</v>
      </c>
      <c r="D108" s="350" t="s">
        <v>97</v>
      </c>
      <c r="E108" s="351" t="s">
        <v>162</v>
      </c>
      <c r="F108" s="351" t="s">
        <v>163</v>
      </c>
      <c r="G108" s="351" t="s">
        <v>164</v>
      </c>
      <c r="H108" s="351" t="s">
        <v>221</v>
      </c>
      <c r="I108" s="351" t="s">
        <v>220</v>
      </c>
      <c r="J108" s="352" t="s">
        <v>161</v>
      </c>
      <c r="N108" s="354"/>
      <c r="O108" s="354"/>
      <c r="P108" s="354"/>
      <c r="Q108" s="354"/>
      <c r="R108" s="354"/>
      <c r="S108" s="365"/>
    </row>
    <row r="109" spans="1:19" s="353" customFormat="1" ht="23.25" x14ac:dyDescent="0.2">
      <c r="A109" s="355" t="str">
        <f>'B-32D-pavouk'!H43</f>
        <v>33-40</v>
      </c>
      <c r="B109" s="356"/>
      <c r="C109" s="357"/>
      <c r="D109" s="357"/>
      <c r="E109" s="359"/>
      <c r="F109" s="359"/>
      <c r="G109" s="359"/>
      <c r="H109" s="359"/>
      <c r="I109" s="359"/>
      <c r="J109" s="360"/>
      <c r="N109" s="354"/>
      <c r="O109" s="354"/>
      <c r="P109" s="354"/>
      <c r="Q109" s="354"/>
      <c r="R109" s="354"/>
      <c r="S109" s="365"/>
    </row>
    <row r="110" spans="1:19" s="353" customFormat="1" ht="24" thickBot="1" x14ac:dyDescent="0.25">
      <c r="A110" s="425" t="s">
        <v>165</v>
      </c>
      <c r="B110" s="426"/>
      <c r="C110" s="361"/>
      <c r="D110" s="362" t="s">
        <v>166</v>
      </c>
      <c r="E110" s="427"/>
      <c r="F110" s="427"/>
      <c r="G110" s="427"/>
      <c r="H110" s="427"/>
      <c r="I110" s="427"/>
      <c r="J110" s="428"/>
      <c r="N110" s="354"/>
      <c r="O110" s="354"/>
      <c r="P110" s="354"/>
      <c r="Q110" s="354"/>
      <c r="R110" s="354"/>
      <c r="S110" s="365"/>
    </row>
    <row r="111" spans="1:19" s="353" customFormat="1" ht="13.5" thickBot="1" x14ac:dyDescent="0.25">
      <c r="A111" s="367"/>
      <c r="B111" s="363"/>
      <c r="C111" s="364"/>
      <c r="D111" s="364"/>
      <c r="E111" s="354"/>
      <c r="F111" s="354"/>
      <c r="G111" s="354"/>
      <c r="H111" s="354"/>
      <c r="I111" s="354"/>
      <c r="J111" s="365"/>
      <c r="N111" s="354"/>
      <c r="O111" s="354"/>
      <c r="P111" s="354"/>
      <c r="Q111" s="354"/>
      <c r="R111" s="354"/>
      <c r="S111" s="365"/>
    </row>
    <row r="112" spans="1:19" s="353" customFormat="1" x14ac:dyDescent="0.2">
      <c r="A112" s="348"/>
      <c r="B112" s="349" t="s">
        <v>60</v>
      </c>
      <c r="C112" s="350" t="s">
        <v>96</v>
      </c>
      <c r="D112" s="350" t="s">
        <v>97</v>
      </c>
      <c r="E112" s="351" t="s">
        <v>162</v>
      </c>
      <c r="F112" s="351" t="s">
        <v>163</v>
      </c>
      <c r="G112" s="351" t="s">
        <v>164</v>
      </c>
      <c r="H112" s="351" t="s">
        <v>221</v>
      </c>
      <c r="I112" s="351" t="s">
        <v>220</v>
      </c>
      <c r="J112" s="352" t="s">
        <v>161</v>
      </c>
      <c r="N112" s="354"/>
      <c r="O112" s="354"/>
      <c r="P112" s="354"/>
      <c r="Q112" s="354"/>
      <c r="R112" s="354"/>
      <c r="S112" s="365"/>
    </row>
    <row r="113" spans="1:19" s="353" customFormat="1" ht="23.25" x14ac:dyDescent="0.2">
      <c r="A113" s="355" t="str">
        <f>'B-32D-pavouk'!K10</f>
        <v>33-36</v>
      </c>
      <c r="B113" s="356"/>
      <c r="C113" s="357"/>
      <c r="D113" s="357"/>
      <c r="E113" s="359"/>
      <c r="F113" s="359"/>
      <c r="G113" s="359"/>
      <c r="H113" s="359"/>
      <c r="I113" s="359"/>
      <c r="J113" s="360"/>
      <c r="N113" s="354"/>
      <c r="O113" s="354"/>
      <c r="P113" s="354"/>
      <c r="Q113" s="354"/>
      <c r="R113" s="354"/>
      <c r="S113" s="365"/>
    </row>
    <row r="114" spans="1:19" s="353" customFormat="1" ht="24" thickBot="1" x14ac:dyDescent="0.25">
      <c r="A114" s="425" t="s">
        <v>165</v>
      </c>
      <c r="B114" s="426"/>
      <c r="C114" s="361"/>
      <c r="D114" s="362" t="s">
        <v>166</v>
      </c>
      <c r="E114" s="427"/>
      <c r="F114" s="427"/>
      <c r="G114" s="427"/>
      <c r="H114" s="427"/>
      <c r="I114" s="427"/>
      <c r="J114" s="428"/>
      <c r="N114" s="354"/>
      <c r="O114" s="354"/>
      <c r="P114" s="354"/>
      <c r="Q114" s="354"/>
      <c r="R114" s="354"/>
      <c r="S114" s="365"/>
    </row>
    <row r="115" spans="1:19" s="353" customFormat="1" ht="13.5" thickBot="1" x14ac:dyDescent="0.25">
      <c r="A115" s="363"/>
      <c r="B115" s="363"/>
      <c r="C115" s="364"/>
      <c r="D115" s="364"/>
      <c r="E115" s="354"/>
      <c r="F115" s="354"/>
      <c r="G115" s="354"/>
      <c r="H115" s="354"/>
      <c r="I115" s="354"/>
      <c r="J115" s="365"/>
      <c r="N115" s="354"/>
      <c r="O115" s="354"/>
      <c r="P115" s="354"/>
      <c r="Q115" s="354"/>
      <c r="R115" s="354"/>
      <c r="S115" s="365"/>
    </row>
    <row r="116" spans="1:19" s="353" customFormat="1" x14ac:dyDescent="0.2">
      <c r="A116" s="348"/>
      <c r="B116" s="349" t="s">
        <v>60</v>
      </c>
      <c r="C116" s="350" t="s">
        <v>96</v>
      </c>
      <c r="D116" s="350" t="s">
        <v>97</v>
      </c>
      <c r="E116" s="351" t="s">
        <v>162</v>
      </c>
      <c r="F116" s="351" t="s">
        <v>163</v>
      </c>
      <c r="G116" s="351" t="s">
        <v>164</v>
      </c>
      <c r="H116" s="351" t="s">
        <v>221</v>
      </c>
      <c r="I116" s="351" t="s">
        <v>220</v>
      </c>
      <c r="J116" s="352" t="s">
        <v>161</v>
      </c>
      <c r="N116" s="354"/>
      <c r="O116" s="354"/>
      <c r="P116" s="354"/>
      <c r="Q116" s="354"/>
      <c r="R116" s="354"/>
      <c r="S116" s="365"/>
    </row>
    <row r="117" spans="1:19" s="353" customFormat="1" ht="23.25" x14ac:dyDescent="0.2">
      <c r="A117" s="355" t="str">
        <f>'B-32D-pavouk'!K34</f>
        <v>33-36</v>
      </c>
      <c r="B117" s="356"/>
      <c r="C117" s="357"/>
      <c r="D117" s="357"/>
      <c r="E117" s="359"/>
      <c r="F117" s="359"/>
      <c r="G117" s="359"/>
      <c r="H117" s="359"/>
      <c r="I117" s="359"/>
      <c r="J117" s="360"/>
      <c r="N117" s="354"/>
      <c r="O117" s="354"/>
      <c r="P117" s="354"/>
      <c r="Q117" s="354"/>
      <c r="R117" s="354"/>
      <c r="S117" s="365"/>
    </row>
    <row r="118" spans="1:19" s="353" customFormat="1" ht="24" thickBot="1" x14ac:dyDescent="0.25">
      <c r="A118" s="425" t="s">
        <v>165</v>
      </c>
      <c r="B118" s="426"/>
      <c r="C118" s="361"/>
      <c r="D118" s="362" t="s">
        <v>166</v>
      </c>
      <c r="E118" s="427"/>
      <c r="F118" s="427"/>
      <c r="G118" s="427"/>
      <c r="H118" s="427"/>
      <c r="I118" s="427"/>
      <c r="J118" s="428"/>
      <c r="N118" s="354"/>
      <c r="O118" s="354"/>
      <c r="P118" s="354"/>
      <c r="Q118" s="354"/>
      <c r="R118" s="354"/>
      <c r="S118" s="365"/>
    </row>
    <row r="119" spans="1:19" s="353" customFormat="1" ht="13.5" thickBot="1" x14ac:dyDescent="0.25">
      <c r="A119" s="363"/>
      <c r="B119" s="363"/>
      <c r="C119" s="364"/>
      <c r="D119" s="364"/>
      <c r="E119" s="354"/>
      <c r="F119" s="354"/>
      <c r="G119" s="354"/>
      <c r="H119" s="354"/>
      <c r="I119" s="354"/>
      <c r="J119" s="365"/>
      <c r="N119" s="354"/>
      <c r="O119" s="354"/>
      <c r="P119" s="354"/>
      <c r="Q119" s="354"/>
      <c r="R119" s="354"/>
      <c r="S119" s="365"/>
    </row>
    <row r="120" spans="1:19" s="353" customFormat="1" x14ac:dyDescent="0.2">
      <c r="A120" s="348"/>
      <c r="B120" s="349" t="s">
        <v>60</v>
      </c>
      <c r="C120" s="350" t="s">
        <v>96</v>
      </c>
      <c r="D120" s="350" t="s">
        <v>97</v>
      </c>
      <c r="E120" s="351" t="s">
        <v>162</v>
      </c>
      <c r="F120" s="351" t="s">
        <v>163</v>
      </c>
      <c r="G120" s="351" t="s">
        <v>164</v>
      </c>
      <c r="H120" s="351" t="s">
        <v>221</v>
      </c>
      <c r="I120" s="351" t="s">
        <v>220</v>
      </c>
      <c r="J120" s="352" t="s">
        <v>161</v>
      </c>
      <c r="N120" s="354"/>
      <c r="O120" s="354"/>
      <c r="P120" s="354"/>
      <c r="Q120" s="354"/>
      <c r="R120" s="354"/>
      <c r="S120" s="365"/>
    </row>
    <row r="121" spans="1:19" s="353" customFormat="1" ht="23.25" x14ac:dyDescent="0.2">
      <c r="A121" s="355" t="str">
        <f>'B-32D-pavouk'!N16</f>
        <v>33-34</v>
      </c>
      <c r="B121" s="356"/>
      <c r="C121" s="357"/>
      <c r="D121" s="357"/>
      <c r="E121" s="359"/>
      <c r="F121" s="359"/>
      <c r="G121" s="359"/>
      <c r="H121" s="359"/>
      <c r="I121" s="359"/>
      <c r="J121" s="360"/>
      <c r="N121" s="354"/>
      <c r="O121" s="354"/>
      <c r="P121" s="354"/>
      <c r="Q121" s="354"/>
      <c r="R121" s="354"/>
      <c r="S121" s="365"/>
    </row>
    <row r="122" spans="1:19" s="353" customFormat="1" ht="24" thickBot="1" x14ac:dyDescent="0.25">
      <c r="A122" s="425" t="s">
        <v>165</v>
      </c>
      <c r="B122" s="426"/>
      <c r="C122" s="361"/>
      <c r="D122" s="362" t="s">
        <v>166</v>
      </c>
      <c r="E122" s="427"/>
      <c r="F122" s="427"/>
      <c r="G122" s="427"/>
      <c r="H122" s="427"/>
      <c r="I122" s="427"/>
      <c r="J122" s="428"/>
      <c r="N122" s="354"/>
      <c r="O122" s="354"/>
      <c r="P122" s="354"/>
      <c r="Q122" s="354"/>
      <c r="R122" s="354"/>
      <c r="S122" s="365"/>
    </row>
    <row r="123" spans="1:19" s="353" customFormat="1" x14ac:dyDescent="0.2">
      <c r="A123" s="367"/>
      <c r="B123" s="363"/>
      <c r="C123" s="364"/>
      <c r="D123" s="364"/>
      <c r="E123" s="354"/>
      <c r="F123" s="354"/>
      <c r="G123" s="354"/>
      <c r="H123" s="354"/>
      <c r="I123" s="354"/>
      <c r="J123" s="365"/>
      <c r="N123" s="354"/>
      <c r="O123" s="354"/>
      <c r="P123" s="354"/>
      <c r="Q123" s="354"/>
      <c r="R123" s="354"/>
      <c r="S123" s="365"/>
    </row>
  </sheetData>
  <mergeCells count="62">
    <mergeCell ref="A3:B3"/>
    <mergeCell ref="E3:J3"/>
    <mergeCell ref="A7:B7"/>
    <mergeCell ref="E7:J7"/>
    <mergeCell ref="A11:B11"/>
    <mergeCell ref="E11:J11"/>
    <mergeCell ref="A15:B15"/>
    <mergeCell ref="E15:J15"/>
    <mergeCell ref="A19:B19"/>
    <mergeCell ref="E19:J19"/>
    <mergeCell ref="A23:B23"/>
    <mergeCell ref="E23:J23"/>
    <mergeCell ref="A27:B27"/>
    <mergeCell ref="E27:J27"/>
    <mergeCell ref="A31:B31"/>
    <mergeCell ref="E31:J31"/>
    <mergeCell ref="A35:B35"/>
    <mergeCell ref="E35:J35"/>
    <mergeCell ref="A39:B39"/>
    <mergeCell ref="E39:J39"/>
    <mergeCell ref="A43:B43"/>
    <mergeCell ref="E43:J43"/>
    <mergeCell ref="A47:B47"/>
    <mergeCell ref="E47:J47"/>
    <mergeCell ref="A50:B50"/>
    <mergeCell ref="E50:J50"/>
    <mergeCell ref="A54:B54"/>
    <mergeCell ref="E54:J54"/>
    <mergeCell ref="A58:B58"/>
    <mergeCell ref="E58:J58"/>
    <mergeCell ref="A62:B62"/>
    <mergeCell ref="E62:J62"/>
    <mergeCell ref="A66:B66"/>
    <mergeCell ref="E66:J66"/>
    <mergeCell ref="A70:B70"/>
    <mergeCell ref="E70:J70"/>
    <mergeCell ref="A74:B74"/>
    <mergeCell ref="E74:J74"/>
    <mergeCell ref="A78:B78"/>
    <mergeCell ref="E78:J78"/>
    <mergeCell ref="A82:B82"/>
    <mergeCell ref="E82:J82"/>
    <mergeCell ref="A98:B98"/>
    <mergeCell ref="E98:J98"/>
    <mergeCell ref="A86:B86"/>
    <mergeCell ref="E86:J86"/>
    <mergeCell ref="A90:B90"/>
    <mergeCell ref="E90:J90"/>
    <mergeCell ref="A94:B94"/>
    <mergeCell ref="E94:J94"/>
    <mergeCell ref="A102:B102"/>
    <mergeCell ref="E102:J102"/>
    <mergeCell ref="A106:B106"/>
    <mergeCell ref="E106:J106"/>
    <mergeCell ref="A110:B110"/>
    <mergeCell ref="E110:J110"/>
    <mergeCell ref="A122:B122"/>
    <mergeCell ref="E122:J122"/>
    <mergeCell ref="A118:B118"/>
    <mergeCell ref="E118:J118"/>
    <mergeCell ref="A114:B114"/>
    <mergeCell ref="E114:J114"/>
  </mergeCells>
  <printOptions horizontalCentered="1" verticalCentered="1"/>
  <pageMargins left="0.19685039370078741" right="0.19685039370078741" top="0.19685039370078741" bottom="0.19685039370078741" header="0" footer="0.51181102362204722"/>
  <pageSetup paperSize="9" scale="92" orientation="portrait" horizontalDpi="360" verticalDpi="360" r:id="rId1"/>
  <headerFooter alignWithMargins="0">
    <oddHeader>&amp;C1. stupeň</oddHeader>
  </headerFooter>
  <rowBreaks count="2" manualBreakCount="2">
    <brk id="47" max="9" man="1"/>
    <brk id="95"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CA72-67C1-481D-8BDB-F21041F80D8E}">
  <dimension ref="A1:S121"/>
  <sheetViews>
    <sheetView showGridLines="0" view="pageBreakPreview" zoomScaleNormal="100" zoomScaleSheetLayoutView="100" workbookViewId="0">
      <selection activeCell="S42" sqref="S42"/>
    </sheetView>
  </sheetViews>
  <sheetFormatPr defaultRowHeight="12.75" x14ac:dyDescent="0.2"/>
  <cols>
    <col min="1" max="1" width="6.85546875" style="102" customWidth="1"/>
    <col min="2" max="2" width="5.5703125" style="102" bestFit="1" customWidth="1"/>
    <col min="3" max="4" width="23.85546875" style="89" customWidth="1"/>
    <col min="5" max="9" width="6.5703125" style="90" customWidth="1"/>
    <col min="10" max="10" width="9.42578125" style="88" customWidth="1"/>
    <col min="11" max="11" width="5.42578125" style="106" bestFit="1" customWidth="1"/>
    <col min="12" max="12" width="21.140625" style="106" customWidth="1"/>
    <col min="13" max="13" width="15" style="106" customWidth="1"/>
    <col min="14" max="14" width="15" style="90" customWidth="1"/>
    <col min="15" max="15" width="27.140625" style="90" bestFit="1" customWidth="1"/>
    <col min="16" max="18" width="5.7109375" style="90" bestFit="1" customWidth="1"/>
    <col min="19" max="19" width="8.140625" style="88" bestFit="1" customWidth="1"/>
    <col min="20" max="16384" width="9.140625" style="90"/>
  </cols>
  <sheetData>
    <row r="1" spans="1:14" ht="14.45" customHeight="1" x14ac:dyDescent="0.2">
      <c r="A1" s="103"/>
      <c r="B1" s="100" t="s">
        <v>60</v>
      </c>
      <c r="C1" s="94" t="s">
        <v>96</v>
      </c>
      <c r="D1" s="94" t="s">
        <v>97</v>
      </c>
      <c r="E1" s="93" t="s">
        <v>162</v>
      </c>
      <c r="F1" s="93" t="s">
        <v>163</v>
      </c>
      <c r="G1" s="93" t="s">
        <v>164</v>
      </c>
      <c r="H1" s="93" t="s">
        <v>221</v>
      </c>
      <c r="I1" s="93" t="s">
        <v>220</v>
      </c>
      <c r="J1" s="226" t="s">
        <v>161</v>
      </c>
    </row>
    <row r="2" spans="1:14" ht="23.25" x14ac:dyDescent="0.2">
      <c r="A2" s="317"/>
      <c r="B2" s="101"/>
      <c r="C2" s="99"/>
      <c r="D2" s="99"/>
      <c r="E2" s="225"/>
      <c r="F2" s="96"/>
      <c r="G2" s="96"/>
      <c r="H2" s="96"/>
      <c r="I2" s="96"/>
      <c r="J2" s="113"/>
    </row>
    <row r="3" spans="1:14" ht="24" thickBot="1" x14ac:dyDescent="0.25">
      <c r="A3" s="429" t="s">
        <v>165</v>
      </c>
      <c r="B3" s="430"/>
      <c r="C3" s="98"/>
      <c r="D3" s="92" t="s">
        <v>166</v>
      </c>
      <c r="E3" s="431"/>
      <c r="F3" s="431"/>
      <c r="G3" s="431"/>
      <c r="H3" s="431"/>
      <c r="I3" s="431"/>
      <c r="J3" s="432"/>
    </row>
    <row r="4" spans="1:14" ht="13.5" thickBot="1" x14ac:dyDescent="0.25"/>
    <row r="5" spans="1:14" ht="14.45" customHeight="1" x14ac:dyDescent="0.2">
      <c r="A5" s="103"/>
      <c r="B5" s="100" t="s">
        <v>60</v>
      </c>
      <c r="C5" s="94" t="s">
        <v>96</v>
      </c>
      <c r="D5" s="94" t="s">
        <v>97</v>
      </c>
      <c r="E5" s="93" t="s">
        <v>162</v>
      </c>
      <c r="F5" s="93" t="s">
        <v>163</v>
      </c>
      <c r="G5" s="93" t="s">
        <v>164</v>
      </c>
      <c r="H5" s="93" t="s">
        <v>221</v>
      </c>
      <c r="I5" s="93" t="s">
        <v>220</v>
      </c>
      <c r="J5" s="226" t="s">
        <v>161</v>
      </c>
    </row>
    <row r="6" spans="1:14" ht="23.25" x14ac:dyDescent="0.2">
      <c r="A6" s="317"/>
      <c r="B6" s="101"/>
      <c r="C6" s="99"/>
      <c r="D6" s="99"/>
      <c r="E6" s="96"/>
      <c r="F6" s="96"/>
      <c r="G6" s="96"/>
      <c r="H6" s="96"/>
      <c r="I6" s="96"/>
      <c r="J6" s="113"/>
      <c r="N6" s="227"/>
    </row>
    <row r="7" spans="1:14" ht="24" thickBot="1" x14ac:dyDescent="0.25">
      <c r="A7" s="429" t="s">
        <v>165</v>
      </c>
      <c r="B7" s="430"/>
      <c r="C7" s="98"/>
      <c r="D7" s="92" t="s">
        <v>166</v>
      </c>
      <c r="E7" s="431"/>
      <c r="F7" s="431"/>
      <c r="G7" s="431"/>
      <c r="H7" s="431"/>
      <c r="I7" s="431"/>
      <c r="J7" s="432"/>
    </row>
    <row r="8" spans="1:14" ht="12" customHeight="1" thickBot="1" x14ac:dyDescent="0.25">
      <c r="A8" s="105"/>
    </row>
    <row r="9" spans="1:14" ht="14.45" customHeight="1" x14ac:dyDescent="0.2">
      <c r="A9" s="103"/>
      <c r="B9" s="100" t="s">
        <v>60</v>
      </c>
      <c r="C9" s="94" t="s">
        <v>96</v>
      </c>
      <c r="D9" s="94" t="s">
        <v>97</v>
      </c>
      <c r="E9" s="93" t="s">
        <v>162</v>
      </c>
      <c r="F9" s="93" t="s">
        <v>163</v>
      </c>
      <c r="G9" s="93" t="s">
        <v>164</v>
      </c>
      <c r="H9" s="93" t="s">
        <v>221</v>
      </c>
      <c r="I9" s="93" t="s">
        <v>220</v>
      </c>
      <c r="J9" s="226" t="s">
        <v>161</v>
      </c>
    </row>
    <row r="10" spans="1:14" ht="23.25" x14ac:dyDescent="0.2">
      <c r="A10" s="317"/>
      <c r="B10" s="101"/>
      <c r="C10" s="99"/>
      <c r="D10" s="99"/>
      <c r="E10" s="96"/>
      <c r="F10" s="96"/>
      <c r="G10" s="96"/>
      <c r="H10" s="96"/>
      <c r="I10" s="96"/>
      <c r="J10" s="113"/>
    </row>
    <row r="11" spans="1:14" ht="24" thickBot="1" x14ac:dyDescent="0.25">
      <c r="A11" s="429" t="s">
        <v>165</v>
      </c>
      <c r="B11" s="430"/>
      <c r="C11" s="98"/>
      <c r="D11" s="92" t="s">
        <v>166</v>
      </c>
      <c r="E11" s="431"/>
      <c r="F11" s="431"/>
      <c r="G11" s="431"/>
      <c r="H11" s="431"/>
      <c r="I11" s="431"/>
      <c r="J11" s="432"/>
    </row>
    <row r="12" spans="1:14" ht="12" customHeight="1" thickBot="1" x14ac:dyDescent="0.25"/>
    <row r="13" spans="1:14" ht="14.45" customHeight="1" x14ac:dyDescent="0.2">
      <c r="A13" s="103"/>
      <c r="B13" s="100" t="s">
        <v>60</v>
      </c>
      <c r="C13" s="94" t="s">
        <v>96</v>
      </c>
      <c r="D13" s="94" t="s">
        <v>97</v>
      </c>
      <c r="E13" s="93" t="s">
        <v>162</v>
      </c>
      <c r="F13" s="93" t="s">
        <v>163</v>
      </c>
      <c r="G13" s="93" t="s">
        <v>164</v>
      </c>
      <c r="H13" s="93" t="s">
        <v>221</v>
      </c>
      <c r="I13" s="93" t="s">
        <v>220</v>
      </c>
      <c r="J13" s="226" t="s">
        <v>161</v>
      </c>
    </row>
    <row r="14" spans="1:14" ht="23.25" x14ac:dyDescent="0.2">
      <c r="A14" s="317"/>
      <c r="B14" s="101"/>
      <c r="C14" s="99"/>
      <c r="D14" s="99"/>
      <c r="E14" s="96"/>
      <c r="F14" s="96"/>
      <c r="G14" s="96"/>
      <c r="H14" s="96"/>
      <c r="I14" s="96"/>
      <c r="J14" s="113"/>
    </row>
    <row r="15" spans="1:14" ht="24" thickBot="1" x14ac:dyDescent="0.25">
      <c r="A15" s="429" t="s">
        <v>165</v>
      </c>
      <c r="B15" s="430"/>
      <c r="C15" s="98"/>
      <c r="D15" s="92" t="s">
        <v>166</v>
      </c>
      <c r="E15" s="431"/>
      <c r="F15" s="431"/>
      <c r="G15" s="431"/>
      <c r="H15" s="431"/>
      <c r="I15" s="431"/>
      <c r="J15" s="432"/>
    </row>
    <row r="16" spans="1:14" ht="12" customHeight="1" thickBot="1" x14ac:dyDescent="0.25">
      <c r="A16" s="105"/>
    </row>
    <row r="17" spans="1:10" ht="14.45" customHeight="1" x14ac:dyDescent="0.2">
      <c r="A17" s="103"/>
      <c r="B17" s="100" t="s">
        <v>60</v>
      </c>
      <c r="C17" s="94" t="s">
        <v>96</v>
      </c>
      <c r="D17" s="94" t="s">
        <v>97</v>
      </c>
      <c r="E17" s="93" t="s">
        <v>162</v>
      </c>
      <c r="F17" s="93" t="s">
        <v>163</v>
      </c>
      <c r="G17" s="93" t="s">
        <v>164</v>
      </c>
      <c r="H17" s="93" t="s">
        <v>221</v>
      </c>
      <c r="I17" s="93" t="s">
        <v>220</v>
      </c>
      <c r="J17" s="226" t="s">
        <v>161</v>
      </c>
    </row>
    <row r="18" spans="1:10" ht="23.25" x14ac:dyDescent="0.2">
      <c r="A18" s="317"/>
      <c r="B18" s="101"/>
      <c r="C18" s="99"/>
      <c r="D18" s="99"/>
      <c r="E18" s="96"/>
      <c r="F18" s="96"/>
      <c r="G18" s="96"/>
      <c r="H18" s="96"/>
      <c r="I18" s="96"/>
      <c r="J18" s="113"/>
    </row>
    <row r="19" spans="1:10" ht="24" thickBot="1" x14ac:dyDescent="0.25">
      <c r="A19" s="429" t="s">
        <v>165</v>
      </c>
      <c r="B19" s="430"/>
      <c r="C19" s="98"/>
      <c r="D19" s="92" t="s">
        <v>166</v>
      </c>
      <c r="E19" s="431"/>
      <c r="F19" s="431"/>
      <c r="G19" s="431"/>
      <c r="H19" s="431"/>
      <c r="I19" s="431"/>
      <c r="J19" s="432"/>
    </row>
    <row r="20" spans="1:10" ht="13.5" thickBot="1" x14ac:dyDescent="0.25"/>
    <row r="21" spans="1:10" ht="14.45" customHeight="1" x14ac:dyDescent="0.2">
      <c r="A21" s="103"/>
      <c r="B21" s="100" t="s">
        <v>60</v>
      </c>
      <c r="C21" s="94" t="s">
        <v>96</v>
      </c>
      <c r="D21" s="94" t="s">
        <v>97</v>
      </c>
      <c r="E21" s="93" t="s">
        <v>162</v>
      </c>
      <c r="F21" s="93" t="s">
        <v>163</v>
      </c>
      <c r="G21" s="93" t="s">
        <v>164</v>
      </c>
      <c r="H21" s="93" t="s">
        <v>221</v>
      </c>
      <c r="I21" s="93" t="s">
        <v>220</v>
      </c>
      <c r="J21" s="226" t="s">
        <v>161</v>
      </c>
    </row>
    <row r="22" spans="1:10" ht="23.25" x14ac:dyDescent="0.2">
      <c r="A22" s="317"/>
      <c r="B22" s="101"/>
      <c r="C22" s="99"/>
      <c r="D22" s="99"/>
      <c r="E22" s="96"/>
      <c r="F22" s="96"/>
      <c r="G22" s="96"/>
      <c r="H22" s="96"/>
      <c r="I22" s="96"/>
      <c r="J22" s="113"/>
    </row>
    <row r="23" spans="1:10" ht="24" thickBot="1" x14ac:dyDescent="0.25">
      <c r="A23" s="429" t="s">
        <v>165</v>
      </c>
      <c r="B23" s="430"/>
      <c r="C23" s="98"/>
      <c r="D23" s="92" t="s">
        <v>166</v>
      </c>
      <c r="E23" s="431"/>
      <c r="F23" s="431"/>
      <c r="G23" s="431"/>
      <c r="H23" s="431"/>
      <c r="I23" s="431"/>
      <c r="J23" s="432"/>
    </row>
    <row r="24" spans="1:10" ht="12" customHeight="1" thickBot="1" x14ac:dyDescent="0.25">
      <c r="A24" s="105"/>
    </row>
    <row r="25" spans="1:10" x14ac:dyDescent="0.2">
      <c r="A25" s="103"/>
      <c r="B25" s="100" t="s">
        <v>60</v>
      </c>
      <c r="C25" s="94" t="s">
        <v>96</v>
      </c>
      <c r="D25" s="94" t="s">
        <v>97</v>
      </c>
      <c r="E25" s="93" t="s">
        <v>162</v>
      </c>
      <c r="F25" s="93" t="s">
        <v>163</v>
      </c>
      <c r="G25" s="93" t="s">
        <v>164</v>
      </c>
      <c r="H25" s="93" t="s">
        <v>221</v>
      </c>
      <c r="I25" s="93" t="s">
        <v>220</v>
      </c>
      <c r="J25" s="226" t="s">
        <v>161</v>
      </c>
    </row>
    <row r="26" spans="1:10" ht="23.25" x14ac:dyDescent="0.2">
      <c r="A26" s="317"/>
      <c r="B26" s="101"/>
      <c r="C26" s="99"/>
      <c r="D26" s="99"/>
      <c r="E26" s="225"/>
      <c r="F26" s="96"/>
      <c r="G26" s="96"/>
      <c r="H26" s="96"/>
      <c r="I26" s="96"/>
      <c r="J26" s="113"/>
    </row>
    <row r="27" spans="1:10" ht="24" thickBot="1" x14ac:dyDescent="0.25">
      <c r="A27" s="429" t="s">
        <v>165</v>
      </c>
      <c r="B27" s="430"/>
      <c r="C27" s="98"/>
      <c r="D27" s="92" t="s">
        <v>166</v>
      </c>
      <c r="E27" s="431"/>
      <c r="F27" s="431"/>
      <c r="G27" s="431"/>
      <c r="H27" s="431"/>
      <c r="I27" s="431"/>
      <c r="J27" s="432"/>
    </row>
    <row r="28" spans="1:10" ht="13.5" thickBot="1" x14ac:dyDescent="0.25">
      <c r="A28" s="105"/>
    </row>
    <row r="29" spans="1:10" x14ac:dyDescent="0.2">
      <c r="A29" s="103"/>
      <c r="B29" s="100" t="s">
        <v>60</v>
      </c>
      <c r="C29" s="94" t="s">
        <v>96</v>
      </c>
      <c r="D29" s="94" t="s">
        <v>97</v>
      </c>
      <c r="E29" s="93" t="s">
        <v>162</v>
      </c>
      <c r="F29" s="93" t="s">
        <v>163</v>
      </c>
      <c r="G29" s="93" t="s">
        <v>164</v>
      </c>
      <c r="H29" s="93" t="s">
        <v>221</v>
      </c>
      <c r="I29" s="93" t="s">
        <v>220</v>
      </c>
      <c r="J29" s="226" t="s">
        <v>161</v>
      </c>
    </row>
    <row r="30" spans="1:10" ht="23.25" x14ac:dyDescent="0.2">
      <c r="A30" s="317"/>
      <c r="B30" s="101"/>
      <c r="C30" s="99"/>
      <c r="D30" s="99"/>
      <c r="E30" s="96"/>
      <c r="F30" s="96"/>
      <c r="G30" s="96"/>
      <c r="H30" s="96"/>
      <c r="I30" s="96"/>
      <c r="J30" s="113"/>
    </row>
    <row r="31" spans="1:10" ht="24" thickBot="1" x14ac:dyDescent="0.25">
      <c r="A31" s="429" t="s">
        <v>165</v>
      </c>
      <c r="B31" s="430"/>
      <c r="C31" s="98"/>
      <c r="D31" s="92" t="s">
        <v>166</v>
      </c>
      <c r="E31" s="431"/>
      <c r="F31" s="431"/>
      <c r="G31" s="431"/>
      <c r="H31" s="431"/>
      <c r="I31" s="431"/>
      <c r="J31" s="432"/>
    </row>
    <row r="32" spans="1:10" ht="13.5" thickBot="1" x14ac:dyDescent="0.25">
      <c r="A32" s="105"/>
    </row>
    <row r="33" spans="1:10" x14ac:dyDescent="0.2">
      <c r="A33" s="103"/>
      <c r="B33" s="100" t="s">
        <v>60</v>
      </c>
      <c r="C33" s="94" t="s">
        <v>96</v>
      </c>
      <c r="D33" s="94" t="s">
        <v>97</v>
      </c>
      <c r="E33" s="93" t="s">
        <v>162</v>
      </c>
      <c r="F33" s="93" t="s">
        <v>163</v>
      </c>
      <c r="G33" s="93" t="s">
        <v>164</v>
      </c>
      <c r="H33" s="93" t="s">
        <v>221</v>
      </c>
      <c r="I33" s="93" t="s">
        <v>220</v>
      </c>
      <c r="J33" s="226" t="s">
        <v>161</v>
      </c>
    </row>
    <row r="34" spans="1:10" ht="23.25" x14ac:dyDescent="0.2">
      <c r="A34" s="317"/>
      <c r="B34" s="101"/>
      <c r="C34" s="99"/>
      <c r="D34" s="99"/>
      <c r="E34" s="96"/>
      <c r="F34" s="96"/>
      <c r="G34" s="96"/>
      <c r="H34" s="96"/>
      <c r="I34" s="96"/>
      <c r="J34" s="113"/>
    </row>
    <row r="35" spans="1:10" ht="24" thickBot="1" x14ac:dyDescent="0.25">
      <c r="A35" s="429" t="s">
        <v>165</v>
      </c>
      <c r="B35" s="430"/>
      <c r="C35" s="98"/>
      <c r="D35" s="92" t="s">
        <v>166</v>
      </c>
      <c r="E35" s="431"/>
      <c r="F35" s="431"/>
      <c r="G35" s="431"/>
      <c r="H35" s="431"/>
      <c r="I35" s="431"/>
      <c r="J35" s="432"/>
    </row>
    <row r="36" spans="1:10" ht="13.5" thickBot="1" x14ac:dyDescent="0.25">
      <c r="A36" s="105"/>
    </row>
    <row r="37" spans="1:10" x14ac:dyDescent="0.2">
      <c r="A37" s="103"/>
      <c r="B37" s="100" t="s">
        <v>60</v>
      </c>
      <c r="C37" s="94" t="s">
        <v>96</v>
      </c>
      <c r="D37" s="94" t="s">
        <v>97</v>
      </c>
      <c r="E37" s="93" t="s">
        <v>162</v>
      </c>
      <c r="F37" s="93" t="s">
        <v>163</v>
      </c>
      <c r="G37" s="93" t="s">
        <v>164</v>
      </c>
      <c r="H37" s="93" t="s">
        <v>221</v>
      </c>
      <c r="I37" s="93" t="s">
        <v>220</v>
      </c>
      <c r="J37" s="226" t="s">
        <v>161</v>
      </c>
    </row>
    <row r="38" spans="1:10" ht="23.25" x14ac:dyDescent="0.2">
      <c r="A38" s="317"/>
      <c r="B38" s="101"/>
      <c r="C38" s="99"/>
      <c r="D38" s="99"/>
      <c r="E38" s="96"/>
      <c r="F38" s="96"/>
      <c r="G38" s="96"/>
      <c r="H38" s="96"/>
      <c r="I38" s="96"/>
      <c r="J38" s="113"/>
    </row>
    <row r="39" spans="1:10" ht="24" thickBot="1" x14ac:dyDescent="0.25">
      <c r="A39" s="429" t="s">
        <v>165</v>
      </c>
      <c r="B39" s="430"/>
      <c r="C39" s="98"/>
      <c r="D39" s="92" t="s">
        <v>166</v>
      </c>
      <c r="E39" s="431"/>
      <c r="F39" s="431"/>
      <c r="G39" s="431"/>
      <c r="H39" s="431"/>
      <c r="I39" s="431"/>
      <c r="J39" s="432"/>
    </row>
    <row r="40" spans="1:10" ht="13.5" thickBot="1" x14ac:dyDescent="0.25">
      <c r="A40" s="105"/>
    </row>
    <row r="41" spans="1:10" x14ac:dyDescent="0.2">
      <c r="A41" s="103"/>
      <c r="B41" s="100" t="s">
        <v>60</v>
      </c>
      <c r="C41" s="94" t="s">
        <v>96</v>
      </c>
      <c r="D41" s="94" t="s">
        <v>97</v>
      </c>
      <c r="E41" s="93" t="s">
        <v>162</v>
      </c>
      <c r="F41" s="93" t="s">
        <v>163</v>
      </c>
      <c r="G41" s="93" t="s">
        <v>164</v>
      </c>
      <c r="H41" s="93" t="s">
        <v>221</v>
      </c>
      <c r="I41" s="93" t="s">
        <v>220</v>
      </c>
      <c r="J41" s="226" t="s">
        <v>161</v>
      </c>
    </row>
    <row r="42" spans="1:10" ht="23.25" x14ac:dyDescent="0.2">
      <c r="A42" s="317"/>
      <c r="B42" s="101"/>
      <c r="C42" s="99"/>
      <c r="D42" s="99"/>
      <c r="E42" s="96"/>
      <c r="F42" s="96"/>
      <c r="G42" s="96"/>
      <c r="H42" s="96"/>
      <c r="I42" s="96"/>
      <c r="J42" s="113"/>
    </row>
    <row r="43" spans="1:10" ht="24" thickBot="1" x14ac:dyDescent="0.25">
      <c r="A43" s="429" t="s">
        <v>165</v>
      </c>
      <c r="B43" s="430"/>
      <c r="C43" s="98"/>
      <c r="D43" s="92" t="s">
        <v>166</v>
      </c>
      <c r="E43" s="431"/>
      <c r="F43" s="431"/>
      <c r="G43" s="431"/>
      <c r="H43" s="431"/>
      <c r="I43" s="431"/>
      <c r="J43" s="432"/>
    </row>
    <row r="44" spans="1:10" ht="13.5" thickBot="1" x14ac:dyDescent="0.25"/>
    <row r="45" spans="1:10" x14ac:dyDescent="0.2">
      <c r="A45" s="103"/>
      <c r="B45" s="100" t="s">
        <v>60</v>
      </c>
      <c r="C45" s="94" t="s">
        <v>96</v>
      </c>
      <c r="D45" s="94" t="s">
        <v>97</v>
      </c>
      <c r="E45" s="93" t="s">
        <v>162</v>
      </c>
      <c r="F45" s="93" t="s">
        <v>163</v>
      </c>
      <c r="G45" s="93" t="s">
        <v>164</v>
      </c>
      <c r="H45" s="93" t="s">
        <v>221</v>
      </c>
      <c r="I45" s="93" t="s">
        <v>220</v>
      </c>
      <c r="J45" s="226" t="s">
        <v>161</v>
      </c>
    </row>
    <row r="46" spans="1:10" ht="23.25" x14ac:dyDescent="0.2">
      <c r="A46" s="317"/>
      <c r="B46" s="101"/>
      <c r="C46" s="99"/>
      <c r="D46" s="99"/>
      <c r="E46" s="96"/>
      <c r="F46" s="96"/>
      <c r="G46" s="96"/>
      <c r="H46" s="96"/>
      <c r="I46" s="96"/>
      <c r="J46" s="113"/>
    </row>
    <row r="47" spans="1:10" ht="24" thickBot="1" x14ac:dyDescent="0.25">
      <c r="A47" s="429" t="s">
        <v>165</v>
      </c>
      <c r="B47" s="430"/>
      <c r="C47" s="98"/>
      <c r="D47" s="92" t="s">
        <v>166</v>
      </c>
      <c r="E47" s="431"/>
      <c r="F47" s="431"/>
      <c r="G47" s="431"/>
      <c r="H47" s="431"/>
      <c r="I47" s="431"/>
      <c r="J47" s="432"/>
    </row>
    <row r="48" spans="1:10" x14ac:dyDescent="0.2">
      <c r="A48" s="103"/>
      <c r="B48" s="100" t="s">
        <v>60</v>
      </c>
      <c r="C48" s="94" t="s">
        <v>96</v>
      </c>
      <c r="D48" s="94" t="s">
        <v>97</v>
      </c>
      <c r="E48" s="93" t="s">
        <v>162</v>
      </c>
      <c r="F48" s="93" t="s">
        <v>163</v>
      </c>
      <c r="G48" s="93" t="s">
        <v>164</v>
      </c>
      <c r="H48" s="93" t="s">
        <v>221</v>
      </c>
      <c r="I48" s="93" t="s">
        <v>220</v>
      </c>
      <c r="J48" s="226" t="s">
        <v>161</v>
      </c>
    </row>
    <row r="49" spans="1:10" ht="23.25" x14ac:dyDescent="0.2">
      <c r="A49" s="317"/>
      <c r="B49" s="101"/>
      <c r="C49" s="99"/>
      <c r="D49" s="99"/>
      <c r="E49" s="225"/>
      <c r="F49" s="96"/>
      <c r="G49" s="96"/>
      <c r="H49" s="96"/>
      <c r="I49" s="96"/>
      <c r="J49" s="113"/>
    </row>
    <row r="50" spans="1:10" ht="24" thickBot="1" x14ac:dyDescent="0.25">
      <c r="A50" s="429" t="s">
        <v>165</v>
      </c>
      <c r="B50" s="430"/>
      <c r="C50" s="98"/>
      <c r="D50" s="92" t="s">
        <v>166</v>
      </c>
      <c r="E50" s="431"/>
      <c r="F50" s="431"/>
      <c r="G50" s="431"/>
      <c r="H50" s="431"/>
      <c r="I50" s="431"/>
      <c r="J50" s="432"/>
    </row>
    <row r="51" spans="1:10" ht="13.5" thickBot="1" x14ac:dyDescent="0.25"/>
    <row r="52" spans="1:10" x14ac:dyDescent="0.2">
      <c r="A52" s="103"/>
      <c r="B52" s="100" t="s">
        <v>60</v>
      </c>
      <c r="C52" s="94" t="s">
        <v>96</v>
      </c>
      <c r="D52" s="94" t="s">
        <v>97</v>
      </c>
      <c r="E52" s="93" t="s">
        <v>162</v>
      </c>
      <c r="F52" s="93" t="s">
        <v>163</v>
      </c>
      <c r="G52" s="93" t="s">
        <v>164</v>
      </c>
      <c r="H52" s="93" t="s">
        <v>221</v>
      </c>
      <c r="I52" s="93" t="s">
        <v>220</v>
      </c>
      <c r="J52" s="226" t="s">
        <v>161</v>
      </c>
    </row>
    <row r="53" spans="1:10" ht="23.25" x14ac:dyDescent="0.2">
      <c r="A53" s="317"/>
      <c r="B53" s="101"/>
      <c r="C53" s="99"/>
      <c r="D53" s="99"/>
      <c r="E53" s="96"/>
      <c r="F53" s="96"/>
      <c r="G53" s="96"/>
      <c r="H53" s="96"/>
      <c r="I53" s="96"/>
      <c r="J53" s="113"/>
    </row>
    <row r="54" spans="1:10" ht="24" thickBot="1" x14ac:dyDescent="0.25">
      <c r="A54" s="429" t="s">
        <v>165</v>
      </c>
      <c r="B54" s="430"/>
      <c r="C54" s="98"/>
      <c r="D54" s="92" t="s">
        <v>166</v>
      </c>
      <c r="E54" s="431"/>
      <c r="F54" s="431"/>
      <c r="G54" s="431"/>
      <c r="H54" s="431"/>
      <c r="I54" s="431"/>
      <c r="J54" s="432"/>
    </row>
    <row r="55" spans="1:10" ht="13.5" thickBot="1" x14ac:dyDescent="0.25">
      <c r="A55" s="105"/>
    </row>
    <row r="56" spans="1:10" x14ac:dyDescent="0.2">
      <c r="A56" s="103"/>
      <c r="B56" s="100" t="s">
        <v>60</v>
      </c>
      <c r="C56" s="94" t="s">
        <v>96</v>
      </c>
      <c r="D56" s="94" t="s">
        <v>97</v>
      </c>
      <c r="E56" s="93" t="s">
        <v>162</v>
      </c>
      <c r="F56" s="93" t="s">
        <v>163</v>
      </c>
      <c r="G56" s="93" t="s">
        <v>164</v>
      </c>
      <c r="H56" s="93" t="s">
        <v>221</v>
      </c>
      <c r="I56" s="93" t="s">
        <v>220</v>
      </c>
      <c r="J56" s="226" t="s">
        <v>161</v>
      </c>
    </row>
    <row r="57" spans="1:10" ht="23.25" x14ac:dyDescent="0.2">
      <c r="A57" s="317"/>
      <c r="B57" s="101"/>
      <c r="C57" s="99"/>
      <c r="D57" s="99"/>
      <c r="E57" s="96"/>
      <c r="F57" s="96"/>
      <c r="G57" s="96"/>
      <c r="H57" s="96"/>
      <c r="I57" s="96"/>
      <c r="J57" s="113"/>
    </row>
    <row r="58" spans="1:10" ht="24" thickBot="1" x14ac:dyDescent="0.25">
      <c r="A58" s="429" t="s">
        <v>165</v>
      </c>
      <c r="B58" s="430"/>
      <c r="C58" s="98"/>
      <c r="D58" s="92" t="s">
        <v>166</v>
      </c>
      <c r="E58" s="431"/>
      <c r="F58" s="431"/>
      <c r="G58" s="431"/>
      <c r="H58" s="431"/>
      <c r="I58" s="431"/>
      <c r="J58" s="432"/>
    </row>
    <row r="59" spans="1:10" ht="13.5" thickBot="1" x14ac:dyDescent="0.25"/>
    <row r="60" spans="1:10" x14ac:dyDescent="0.2">
      <c r="A60" s="103"/>
      <c r="B60" s="100" t="s">
        <v>60</v>
      </c>
      <c r="C60" s="94" t="s">
        <v>96</v>
      </c>
      <c r="D60" s="94" t="s">
        <v>97</v>
      </c>
      <c r="E60" s="93" t="s">
        <v>162</v>
      </c>
      <c r="F60" s="93" t="s">
        <v>163</v>
      </c>
      <c r="G60" s="93" t="s">
        <v>164</v>
      </c>
      <c r="H60" s="93" t="s">
        <v>221</v>
      </c>
      <c r="I60" s="93" t="s">
        <v>220</v>
      </c>
      <c r="J60" s="226" t="s">
        <v>161</v>
      </c>
    </row>
    <row r="61" spans="1:10" ht="23.25" x14ac:dyDescent="0.2">
      <c r="A61" s="317"/>
      <c r="B61" s="101"/>
      <c r="C61" s="99"/>
      <c r="D61" s="99"/>
      <c r="E61" s="96"/>
      <c r="F61" s="96"/>
      <c r="G61" s="96"/>
      <c r="H61" s="96"/>
      <c r="I61" s="96"/>
      <c r="J61" s="113"/>
    </row>
    <row r="62" spans="1:10" ht="24" thickBot="1" x14ac:dyDescent="0.25">
      <c r="A62" s="429" t="s">
        <v>165</v>
      </c>
      <c r="B62" s="430"/>
      <c r="C62" s="98"/>
      <c r="D62" s="92" t="s">
        <v>166</v>
      </c>
      <c r="E62" s="431"/>
      <c r="F62" s="431"/>
      <c r="G62" s="431"/>
      <c r="H62" s="431"/>
      <c r="I62" s="431"/>
      <c r="J62" s="432"/>
    </row>
    <row r="63" spans="1:10" ht="13.5" thickBot="1" x14ac:dyDescent="0.25">
      <c r="A63" s="105"/>
    </row>
    <row r="64" spans="1:10" x14ac:dyDescent="0.2">
      <c r="A64" s="103"/>
      <c r="B64" s="100" t="s">
        <v>60</v>
      </c>
      <c r="C64" s="94" t="s">
        <v>96</v>
      </c>
      <c r="D64" s="94" t="s">
        <v>97</v>
      </c>
      <c r="E64" s="93" t="s">
        <v>162</v>
      </c>
      <c r="F64" s="93" t="s">
        <v>163</v>
      </c>
      <c r="G64" s="93" t="s">
        <v>164</v>
      </c>
      <c r="H64" s="93" t="s">
        <v>221</v>
      </c>
      <c r="I64" s="93" t="s">
        <v>220</v>
      </c>
      <c r="J64" s="226" t="s">
        <v>161</v>
      </c>
    </row>
    <row r="65" spans="1:10" ht="23.25" x14ac:dyDescent="0.2">
      <c r="A65" s="317"/>
      <c r="B65" s="101"/>
      <c r="C65" s="99"/>
      <c r="D65" s="99"/>
      <c r="E65" s="96"/>
      <c r="F65" s="96"/>
      <c r="G65" s="96"/>
      <c r="H65" s="96"/>
      <c r="I65" s="96"/>
      <c r="J65" s="113"/>
    </row>
    <row r="66" spans="1:10" ht="24" thickBot="1" x14ac:dyDescent="0.25">
      <c r="A66" s="429" t="s">
        <v>165</v>
      </c>
      <c r="B66" s="430"/>
      <c r="C66" s="98"/>
      <c r="D66" s="92" t="s">
        <v>166</v>
      </c>
      <c r="E66" s="431"/>
      <c r="F66" s="431"/>
      <c r="G66" s="431"/>
      <c r="H66" s="431"/>
      <c r="I66" s="431"/>
      <c r="J66" s="432"/>
    </row>
    <row r="67" spans="1:10" ht="13.5" thickBot="1" x14ac:dyDescent="0.25"/>
    <row r="68" spans="1:10" x14ac:dyDescent="0.2">
      <c r="A68" s="103"/>
      <c r="B68" s="100" t="s">
        <v>60</v>
      </c>
      <c r="C68" s="94" t="s">
        <v>96</v>
      </c>
      <c r="D68" s="94" t="s">
        <v>97</v>
      </c>
      <c r="E68" s="93" t="s">
        <v>162</v>
      </c>
      <c r="F68" s="93" t="s">
        <v>163</v>
      </c>
      <c r="G68" s="93" t="s">
        <v>164</v>
      </c>
      <c r="H68" s="93" t="s">
        <v>221</v>
      </c>
      <c r="I68" s="93" t="s">
        <v>220</v>
      </c>
      <c r="J68" s="226" t="s">
        <v>161</v>
      </c>
    </row>
    <row r="69" spans="1:10" ht="23.25" x14ac:dyDescent="0.2">
      <c r="A69" s="317"/>
      <c r="B69" s="101"/>
      <c r="C69" s="99"/>
      <c r="D69" s="99"/>
      <c r="E69" s="96"/>
      <c r="F69" s="96"/>
      <c r="G69" s="96"/>
      <c r="H69" s="96"/>
      <c r="I69" s="96"/>
      <c r="J69" s="113"/>
    </row>
    <row r="70" spans="1:10" ht="24" thickBot="1" x14ac:dyDescent="0.25">
      <c r="A70" s="429" t="s">
        <v>165</v>
      </c>
      <c r="B70" s="430"/>
      <c r="C70" s="98"/>
      <c r="D70" s="92" t="s">
        <v>166</v>
      </c>
      <c r="E70" s="431"/>
      <c r="F70" s="431"/>
      <c r="G70" s="431"/>
      <c r="H70" s="431"/>
      <c r="I70" s="431"/>
      <c r="J70" s="432"/>
    </row>
    <row r="71" spans="1:10" ht="13.5" thickBot="1" x14ac:dyDescent="0.25">
      <c r="A71" s="105"/>
    </row>
    <row r="72" spans="1:10" x14ac:dyDescent="0.2">
      <c r="A72" s="103"/>
      <c r="B72" s="100" t="s">
        <v>60</v>
      </c>
      <c r="C72" s="94" t="s">
        <v>96</v>
      </c>
      <c r="D72" s="94" t="s">
        <v>97</v>
      </c>
      <c r="E72" s="93" t="s">
        <v>162</v>
      </c>
      <c r="F72" s="93" t="s">
        <v>163</v>
      </c>
      <c r="G72" s="93" t="s">
        <v>164</v>
      </c>
      <c r="H72" s="93" t="s">
        <v>221</v>
      </c>
      <c r="I72" s="93" t="s">
        <v>220</v>
      </c>
      <c r="J72" s="226" t="s">
        <v>161</v>
      </c>
    </row>
    <row r="73" spans="1:10" ht="23.25" x14ac:dyDescent="0.2">
      <c r="A73" s="317"/>
      <c r="B73" s="101"/>
      <c r="C73" s="99"/>
      <c r="D73" s="99"/>
      <c r="E73" s="225"/>
      <c r="F73" s="96"/>
      <c r="G73" s="96"/>
      <c r="H73" s="96"/>
      <c r="I73" s="96"/>
      <c r="J73" s="113"/>
    </row>
    <row r="74" spans="1:10" ht="24" thickBot="1" x14ac:dyDescent="0.25">
      <c r="A74" s="429" t="s">
        <v>165</v>
      </c>
      <c r="B74" s="430"/>
      <c r="C74" s="98"/>
      <c r="D74" s="92" t="s">
        <v>166</v>
      </c>
      <c r="E74" s="431"/>
      <c r="F74" s="431"/>
      <c r="G74" s="431"/>
      <c r="H74" s="431"/>
      <c r="I74" s="431"/>
      <c r="J74" s="432"/>
    </row>
    <row r="75" spans="1:10" ht="13.5" thickBot="1" x14ac:dyDescent="0.25"/>
    <row r="76" spans="1:10" x14ac:dyDescent="0.2">
      <c r="A76" s="103"/>
      <c r="B76" s="100" t="s">
        <v>60</v>
      </c>
      <c r="C76" s="94" t="s">
        <v>96</v>
      </c>
      <c r="D76" s="94" t="s">
        <v>97</v>
      </c>
      <c r="E76" s="93" t="s">
        <v>162</v>
      </c>
      <c r="F76" s="93" t="s">
        <v>163</v>
      </c>
      <c r="G76" s="93" t="s">
        <v>164</v>
      </c>
      <c r="H76" s="93" t="s">
        <v>221</v>
      </c>
      <c r="I76" s="93" t="s">
        <v>220</v>
      </c>
      <c r="J76" s="226" t="s">
        <v>161</v>
      </c>
    </row>
    <row r="77" spans="1:10" ht="23.25" x14ac:dyDescent="0.2">
      <c r="A77" s="317"/>
      <c r="B77" s="101"/>
      <c r="C77" s="99"/>
      <c r="D77" s="99"/>
      <c r="E77" s="96"/>
      <c r="F77" s="96"/>
      <c r="G77" s="96"/>
      <c r="H77" s="96"/>
      <c r="I77" s="96"/>
      <c r="J77" s="113"/>
    </row>
    <row r="78" spans="1:10" ht="24" thickBot="1" x14ac:dyDescent="0.25">
      <c r="A78" s="429" t="s">
        <v>165</v>
      </c>
      <c r="B78" s="430"/>
      <c r="C78" s="98"/>
      <c r="D78" s="92" t="s">
        <v>166</v>
      </c>
      <c r="E78" s="431"/>
      <c r="F78" s="431"/>
      <c r="G78" s="431"/>
      <c r="H78" s="431"/>
      <c r="I78" s="431"/>
      <c r="J78" s="432"/>
    </row>
    <row r="79" spans="1:10" ht="13.5" thickBot="1" x14ac:dyDescent="0.25">
      <c r="A79" s="105"/>
    </row>
    <row r="80" spans="1:10" x14ac:dyDescent="0.2">
      <c r="A80" s="103"/>
      <c r="B80" s="100" t="s">
        <v>60</v>
      </c>
      <c r="C80" s="94" t="s">
        <v>96</v>
      </c>
      <c r="D80" s="94" t="s">
        <v>97</v>
      </c>
      <c r="E80" s="93" t="s">
        <v>162</v>
      </c>
      <c r="F80" s="93" t="s">
        <v>163</v>
      </c>
      <c r="G80" s="93" t="s">
        <v>164</v>
      </c>
      <c r="H80" s="93" t="s">
        <v>221</v>
      </c>
      <c r="I80" s="93" t="s">
        <v>220</v>
      </c>
      <c r="J80" s="226" t="s">
        <v>161</v>
      </c>
    </row>
    <row r="81" spans="1:10" ht="23.25" x14ac:dyDescent="0.2">
      <c r="A81" s="317"/>
      <c r="B81" s="101"/>
      <c r="C81" s="99"/>
      <c r="D81" s="99"/>
      <c r="E81" s="96"/>
      <c r="F81" s="96"/>
      <c r="G81" s="96"/>
      <c r="H81" s="96"/>
      <c r="I81" s="96"/>
      <c r="J81" s="113"/>
    </row>
    <row r="82" spans="1:10" ht="24" thickBot="1" x14ac:dyDescent="0.25">
      <c r="A82" s="429" t="s">
        <v>165</v>
      </c>
      <c r="B82" s="430"/>
      <c r="C82" s="98"/>
      <c r="D82" s="92" t="s">
        <v>166</v>
      </c>
      <c r="E82" s="431"/>
      <c r="F82" s="431"/>
      <c r="G82" s="431"/>
      <c r="H82" s="431"/>
      <c r="I82" s="431"/>
      <c r="J82" s="432"/>
    </row>
    <row r="83" spans="1:10" ht="13.5" thickBot="1" x14ac:dyDescent="0.25">
      <c r="A83" s="105"/>
    </row>
    <row r="84" spans="1:10" x14ac:dyDescent="0.2">
      <c r="A84" s="103"/>
      <c r="B84" s="100" t="s">
        <v>60</v>
      </c>
      <c r="C84" s="94" t="s">
        <v>96</v>
      </c>
      <c r="D84" s="94" t="s">
        <v>97</v>
      </c>
      <c r="E84" s="93" t="s">
        <v>162</v>
      </c>
      <c r="F84" s="93" t="s">
        <v>163</v>
      </c>
      <c r="G84" s="93" t="s">
        <v>164</v>
      </c>
      <c r="H84" s="93" t="s">
        <v>221</v>
      </c>
      <c r="I84" s="93" t="s">
        <v>220</v>
      </c>
      <c r="J84" s="226" t="s">
        <v>161</v>
      </c>
    </row>
    <row r="85" spans="1:10" ht="23.25" x14ac:dyDescent="0.2">
      <c r="A85" s="268"/>
      <c r="B85" s="101"/>
      <c r="C85" s="99"/>
      <c r="D85" s="99"/>
      <c r="E85" s="96"/>
      <c r="F85" s="96"/>
      <c r="G85" s="96"/>
      <c r="H85" s="96"/>
      <c r="I85" s="96"/>
      <c r="J85" s="113"/>
    </row>
    <row r="86" spans="1:10" ht="24" thickBot="1" x14ac:dyDescent="0.25">
      <c r="A86" s="429" t="s">
        <v>165</v>
      </c>
      <c r="B86" s="430"/>
      <c r="C86" s="98"/>
      <c r="D86" s="92" t="s">
        <v>166</v>
      </c>
      <c r="E86" s="431"/>
      <c r="F86" s="431"/>
      <c r="G86" s="431"/>
      <c r="H86" s="431"/>
      <c r="I86" s="431"/>
      <c r="J86" s="432"/>
    </row>
    <row r="87" spans="1:10" ht="13.5" thickBot="1" x14ac:dyDescent="0.25">
      <c r="A87" s="105"/>
    </row>
    <row r="88" spans="1:10" x14ac:dyDescent="0.2">
      <c r="A88" s="103"/>
      <c r="B88" s="100" t="s">
        <v>60</v>
      </c>
      <c r="C88" s="94" t="s">
        <v>96</v>
      </c>
      <c r="D88" s="94" t="s">
        <v>97</v>
      </c>
      <c r="E88" s="93" t="s">
        <v>162</v>
      </c>
      <c r="F88" s="93" t="s">
        <v>163</v>
      </c>
      <c r="G88" s="93" t="s">
        <v>164</v>
      </c>
      <c r="H88" s="93" t="s">
        <v>221</v>
      </c>
      <c r="I88" s="93" t="s">
        <v>220</v>
      </c>
      <c r="J88" s="226" t="s">
        <v>161</v>
      </c>
    </row>
    <row r="89" spans="1:10" ht="23.25" x14ac:dyDescent="0.2">
      <c r="A89" s="268"/>
      <c r="B89" s="101"/>
      <c r="C89" s="99"/>
      <c r="D89" s="99"/>
      <c r="E89" s="96"/>
      <c r="F89" s="96"/>
      <c r="G89" s="96"/>
      <c r="H89" s="96"/>
      <c r="I89" s="96"/>
      <c r="J89" s="113"/>
    </row>
    <row r="90" spans="1:10" ht="24" thickBot="1" x14ac:dyDescent="0.25">
      <c r="A90" s="429" t="s">
        <v>165</v>
      </c>
      <c r="B90" s="430"/>
      <c r="C90" s="98"/>
      <c r="D90" s="92" t="s">
        <v>166</v>
      </c>
      <c r="E90" s="431"/>
      <c r="F90" s="431"/>
      <c r="G90" s="431"/>
      <c r="H90" s="431"/>
      <c r="I90" s="431"/>
      <c r="J90" s="432"/>
    </row>
    <row r="91" spans="1:10" ht="13.5" thickBot="1" x14ac:dyDescent="0.25"/>
    <row r="92" spans="1:10" x14ac:dyDescent="0.2">
      <c r="A92" s="103"/>
      <c r="B92" s="100" t="s">
        <v>60</v>
      </c>
      <c r="C92" s="94" t="s">
        <v>96</v>
      </c>
      <c r="D92" s="94" t="s">
        <v>97</v>
      </c>
      <c r="E92" s="93" t="s">
        <v>162</v>
      </c>
      <c r="F92" s="93" t="s">
        <v>163</v>
      </c>
      <c r="G92" s="93" t="s">
        <v>164</v>
      </c>
      <c r="H92" s="93" t="s">
        <v>221</v>
      </c>
      <c r="I92" s="93" t="s">
        <v>220</v>
      </c>
      <c r="J92" s="226" t="s">
        <v>161</v>
      </c>
    </row>
    <row r="93" spans="1:10" ht="23.25" x14ac:dyDescent="0.2">
      <c r="A93" s="317"/>
      <c r="B93" s="101"/>
      <c r="C93" s="99"/>
      <c r="D93" s="99"/>
      <c r="E93" s="96"/>
      <c r="F93" s="96"/>
      <c r="G93" s="96"/>
      <c r="H93" s="96"/>
      <c r="I93" s="96"/>
      <c r="J93" s="113"/>
    </row>
    <row r="94" spans="1:10" ht="24" thickBot="1" x14ac:dyDescent="0.25">
      <c r="A94" s="429" t="s">
        <v>165</v>
      </c>
      <c r="B94" s="430"/>
      <c r="C94" s="98"/>
      <c r="D94" s="92" t="s">
        <v>166</v>
      </c>
      <c r="E94" s="431"/>
      <c r="F94" s="431"/>
      <c r="G94" s="431"/>
      <c r="H94" s="431"/>
      <c r="I94" s="431"/>
      <c r="J94" s="432"/>
    </row>
    <row r="95" spans="1:10" ht="14.45" customHeight="1" x14ac:dyDescent="0.2">
      <c r="A95" s="103"/>
      <c r="B95" s="100" t="s">
        <v>60</v>
      </c>
      <c r="C95" s="94" t="s">
        <v>96</v>
      </c>
      <c r="D95" s="94" t="s">
        <v>97</v>
      </c>
      <c r="E95" s="93" t="s">
        <v>162</v>
      </c>
      <c r="F95" s="93" t="s">
        <v>163</v>
      </c>
      <c r="G95" s="93" t="s">
        <v>164</v>
      </c>
      <c r="H95" s="93" t="s">
        <v>221</v>
      </c>
      <c r="I95" s="93" t="s">
        <v>220</v>
      </c>
      <c r="J95" s="226" t="s">
        <v>161</v>
      </c>
    </row>
    <row r="96" spans="1:10" ht="23.25" x14ac:dyDescent="0.2">
      <c r="A96" s="317"/>
      <c r="B96" s="101"/>
      <c r="C96" s="99"/>
      <c r="D96" s="99"/>
      <c r="E96" s="225"/>
      <c r="F96" s="96"/>
      <c r="G96" s="96"/>
      <c r="H96" s="96"/>
      <c r="I96" s="96"/>
      <c r="J96" s="113"/>
    </row>
    <row r="97" spans="1:14" ht="24" thickBot="1" x14ac:dyDescent="0.25">
      <c r="A97" s="429" t="s">
        <v>165</v>
      </c>
      <c r="B97" s="430"/>
      <c r="C97" s="98"/>
      <c r="D97" s="92" t="s">
        <v>166</v>
      </c>
      <c r="E97" s="431"/>
      <c r="F97" s="431"/>
      <c r="G97" s="431"/>
      <c r="H97" s="431"/>
      <c r="I97" s="431"/>
      <c r="J97" s="432"/>
    </row>
    <row r="98" spans="1:14" ht="13.5" thickBot="1" x14ac:dyDescent="0.25"/>
    <row r="99" spans="1:14" ht="14.45" customHeight="1" x14ac:dyDescent="0.2">
      <c r="A99" s="103"/>
      <c r="B99" s="100" t="s">
        <v>60</v>
      </c>
      <c r="C99" s="94" t="s">
        <v>96</v>
      </c>
      <c r="D99" s="94" t="s">
        <v>97</v>
      </c>
      <c r="E99" s="93" t="s">
        <v>162</v>
      </c>
      <c r="F99" s="93" t="s">
        <v>163</v>
      </c>
      <c r="G99" s="93" t="s">
        <v>164</v>
      </c>
      <c r="H99" s="93" t="s">
        <v>221</v>
      </c>
      <c r="I99" s="93" t="s">
        <v>220</v>
      </c>
      <c r="J99" s="226" t="s">
        <v>161</v>
      </c>
    </row>
    <row r="100" spans="1:14" ht="23.25" x14ac:dyDescent="0.2">
      <c r="A100" s="317"/>
      <c r="B100" s="101"/>
      <c r="C100" s="99"/>
      <c r="D100" s="99"/>
      <c r="E100" s="96"/>
      <c r="F100" s="96"/>
      <c r="G100" s="96"/>
      <c r="H100" s="96"/>
      <c r="I100" s="96"/>
      <c r="J100" s="113"/>
      <c r="N100" s="227"/>
    </row>
    <row r="101" spans="1:14" ht="24" thickBot="1" x14ac:dyDescent="0.25">
      <c r="A101" s="429" t="s">
        <v>165</v>
      </c>
      <c r="B101" s="430"/>
      <c r="C101" s="98"/>
      <c r="D101" s="92" t="s">
        <v>166</v>
      </c>
      <c r="E101" s="431"/>
      <c r="F101" s="431"/>
      <c r="G101" s="431"/>
      <c r="H101" s="431"/>
      <c r="I101" s="431"/>
      <c r="J101" s="432"/>
    </row>
    <row r="102" spans="1:14" ht="12" customHeight="1" thickBot="1" x14ac:dyDescent="0.25">
      <c r="A102" s="105"/>
    </row>
    <row r="103" spans="1:14" ht="14.45" customHeight="1" x14ac:dyDescent="0.2">
      <c r="A103" s="103"/>
      <c r="B103" s="100" t="s">
        <v>60</v>
      </c>
      <c r="C103" s="94" t="s">
        <v>96</v>
      </c>
      <c r="D103" s="94" t="s">
        <v>97</v>
      </c>
      <c r="E103" s="93" t="s">
        <v>162</v>
      </c>
      <c r="F103" s="93" t="s">
        <v>163</v>
      </c>
      <c r="G103" s="93" t="s">
        <v>164</v>
      </c>
      <c r="H103" s="93" t="s">
        <v>221</v>
      </c>
      <c r="I103" s="93" t="s">
        <v>220</v>
      </c>
      <c r="J103" s="226" t="s">
        <v>161</v>
      </c>
    </row>
    <row r="104" spans="1:14" ht="23.25" x14ac:dyDescent="0.2">
      <c r="A104" s="317"/>
      <c r="B104" s="101"/>
      <c r="C104" s="99"/>
      <c r="D104" s="99"/>
      <c r="E104" s="96"/>
      <c r="F104" s="96"/>
      <c r="G104" s="96"/>
      <c r="H104" s="96"/>
      <c r="I104" s="96"/>
      <c r="J104" s="113"/>
    </row>
    <row r="105" spans="1:14" ht="24" thickBot="1" x14ac:dyDescent="0.25">
      <c r="A105" s="429" t="s">
        <v>165</v>
      </c>
      <c r="B105" s="430"/>
      <c r="C105" s="98"/>
      <c r="D105" s="92" t="s">
        <v>166</v>
      </c>
      <c r="E105" s="431"/>
      <c r="F105" s="431"/>
      <c r="G105" s="431"/>
      <c r="H105" s="431"/>
      <c r="I105" s="431"/>
      <c r="J105" s="432"/>
    </row>
    <row r="106" spans="1:14" ht="12" customHeight="1" thickBot="1" x14ac:dyDescent="0.25"/>
    <row r="107" spans="1:14" ht="14.45" customHeight="1" x14ac:dyDescent="0.2">
      <c r="A107" s="103"/>
      <c r="B107" s="100" t="s">
        <v>60</v>
      </c>
      <c r="C107" s="94" t="s">
        <v>96</v>
      </c>
      <c r="D107" s="94" t="s">
        <v>97</v>
      </c>
      <c r="E107" s="93" t="s">
        <v>162</v>
      </c>
      <c r="F107" s="93" t="s">
        <v>163</v>
      </c>
      <c r="G107" s="93" t="s">
        <v>164</v>
      </c>
      <c r="H107" s="93" t="s">
        <v>221</v>
      </c>
      <c r="I107" s="93" t="s">
        <v>220</v>
      </c>
      <c r="J107" s="226" t="s">
        <v>161</v>
      </c>
    </row>
    <row r="108" spans="1:14" ht="23.25" x14ac:dyDescent="0.2">
      <c r="A108" s="317"/>
      <c r="B108" s="101"/>
      <c r="C108" s="99"/>
      <c r="D108" s="99"/>
      <c r="E108" s="96"/>
      <c r="F108" s="96"/>
      <c r="G108" s="96"/>
      <c r="H108" s="96"/>
      <c r="I108" s="96"/>
      <c r="J108" s="113"/>
    </row>
    <row r="109" spans="1:14" ht="24" thickBot="1" x14ac:dyDescent="0.25">
      <c r="A109" s="429" t="s">
        <v>165</v>
      </c>
      <c r="B109" s="430"/>
      <c r="C109" s="98"/>
      <c r="D109" s="92" t="s">
        <v>166</v>
      </c>
      <c r="E109" s="431"/>
      <c r="F109" s="431"/>
      <c r="G109" s="431"/>
      <c r="H109" s="431"/>
      <c r="I109" s="431"/>
      <c r="J109" s="432"/>
    </row>
    <row r="110" spans="1:14" ht="12" customHeight="1" thickBot="1" x14ac:dyDescent="0.25">
      <c r="A110" s="105"/>
    </row>
    <row r="111" spans="1:14" ht="14.45" customHeight="1" x14ac:dyDescent="0.2">
      <c r="A111" s="103"/>
      <c r="B111" s="100" t="s">
        <v>60</v>
      </c>
      <c r="C111" s="94" t="s">
        <v>96</v>
      </c>
      <c r="D111" s="94" t="s">
        <v>97</v>
      </c>
      <c r="E111" s="93" t="s">
        <v>162</v>
      </c>
      <c r="F111" s="93" t="s">
        <v>163</v>
      </c>
      <c r="G111" s="93" t="s">
        <v>164</v>
      </c>
      <c r="H111" s="93" t="s">
        <v>221</v>
      </c>
      <c r="I111" s="93" t="s">
        <v>220</v>
      </c>
      <c r="J111" s="226" t="s">
        <v>161</v>
      </c>
    </row>
    <row r="112" spans="1:14" ht="23.25" x14ac:dyDescent="0.2">
      <c r="A112" s="317"/>
      <c r="B112" s="101"/>
      <c r="C112" s="99"/>
      <c r="D112" s="99"/>
      <c r="E112" s="96"/>
      <c r="F112" s="96"/>
      <c r="G112" s="96"/>
      <c r="H112" s="96"/>
      <c r="I112" s="96"/>
      <c r="J112" s="113"/>
    </row>
    <row r="113" spans="1:10" ht="24" thickBot="1" x14ac:dyDescent="0.25">
      <c r="A113" s="429" t="s">
        <v>165</v>
      </c>
      <c r="B113" s="430"/>
      <c r="C113" s="98"/>
      <c r="D113" s="92" t="s">
        <v>166</v>
      </c>
      <c r="E113" s="431"/>
      <c r="F113" s="431"/>
      <c r="G113" s="431"/>
      <c r="H113" s="431"/>
      <c r="I113" s="431"/>
      <c r="J113" s="432"/>
    </row>
    <row r="114" spans="1:10" ht="13.5" thickBot="1" x14ac:dyDescent="0.25"/>
    <row r="115" spans="1:10" ht="14.45" customHeight="1" x14ac:dyDescent="0.2">
      <c r="A115" s="103"/>
      <c r="B115" s="100" t="s">
        <v>60</v>
      </c>
      <c r="C115" s="94" t="s">
        <v>96</v>
      </c>
      <c r="D115" s="94" t="s">
        <v>97</v>
      </c>
      <c r="E115" s="93" t="s">
        <v>162</v>
      </c>
      <c r="F115" s="93" t="s">
        <v>163</v>
      </c>
      <c r="G115" s="93" t="s">
        <v>164</v>
      </c>
      <c r="H115" s="93" t="s">
        <v>221</v>
      </c>
      <c r="I115" s="93" t="s">
        <v>220</v>
      </c>
      <c r="J115" s="226" t="s">
        <v>161</v>
      </c>
    </row>
    <row r="116" spans="1:10" ht="23.25" x14ac:dyDescent="0.2">
      <c r="A116" s="317"/>
      <c r="B116" s="101"/>
      <c r="C116" s="99"/>
      <c r="D116" s="99"/>
      <c r="E116" s="96"/>
      <c r="F116" s="96"/>
      <c r="G116" s="96"/>
      <c r="H116" s="96"/>
      <c r="I116" s="96"/>
      <c r="J116" s="113"/>
    </row>
    <row r="117" spans="1:10" ht="24" thickBot="1" x14ac:dyDescent="0.25">
      <c r="A117" s="429" t="s">
        <v>165</v>
      </c>
      <c r="B117" s="430"/>
      <c r="C117" s="98"/>
      <c r="D117" s="92" t="s">
        <v>166</v>
      </c>
      <c r="E117" s="431"/>
      <c r="F117" s="431"/>
      <c r="G117" s="431"/>
      <c r="H117" s="431"/>
      <c r="I117" s="431"/>
      <c r="J117" s="432"/>
    </row>
    <row r="118" spans="1:10" ht="12" customHeight="1" thickBot="1" x14ac:dyDescent="0.25">
      <c r="A118" s="105"/>
    </row>
    <row r="119" spans="1:10" x14ac:dyDescent="0.2">
      <c r="A119" s="103"/>
      <c r="B119" s="100" t="s">
        <v>60</v>
      </c>
      <c r="C119" s="94" t="s">
        <v>96</v>
      </c>
      <c r="D119" s="94" t="s">
        <v>97</v>
      </c>
      <c r="E119" s="93" t="s">
        <v>162</v>
      </c>
      <c r="F119" s="93" t="s">
        <v>163</v>
      </c>
      <c r="G119" s="93" t="s">
        <v>164</v>
      </c>
      <c r="H119" s="93" t="s">
        <v>221</v>
      </c>
      <c r="I119" s="93" t="s">
        <v>220</v>
      </c>
      <c r="J119" s="226" t="s">
        <v>161</v>
      </c>
    </row>
    <row r="120" spans="1:10" ht="23.25" x14ac:dyDescent="0.2">
      <c r="A120" s="317"/>
      <c r="B120" s="101"/>
      <c r="C120" s="99"/>
      <c r="D120" s="99"/>
      <c r="E120" s="225"/>
      <c r="F120" s="96"/>
      <c r="G120" s="96"/>
      <c r="H120" s="96"/>
      <c r="I120" s="96"/>
      <c r="J120" s="113"/>
    </row>
    <row r="121" spans="1:10" ht="24" thickBot="1" x14ac:dyDescent="0.25">
      <c r="A121" s="429" t="s">
        <v>165</v>
      </c>
      <c r="B121" s="430"/>
      <c r="C121" s="98"/>
      <c r="D121" s="92" t="s">
        <v>166</v>
      </c>
      <c r="E121" s="431"/>
      <c r="F121" s="431"/>
      <c r="G121" s="431"/>
      <c r="H121" s="431"/>
      <c r="I121" s="431"/>
      <c r="J121" s="432"/>
    </row>
  </sheetData>
  <mergeCells count="62">
    <mergeCell ref="A121:B121"/>
    <mergeCell ref="E121:J121"/>
    <mergeCell ref="A109:B109"/>
    <mergeCell ref="E109:J109"/>
    <mergeCell ref="A113:B113"/>
    <mergeCell ref="E113:J113"/>
    <mergeCell ref="A117:B117"/>
    <mergeCell ref="E117:J117"/>
    <mergeCell ref="A97:B97"/>
    <mergeCell ref="E97:J97"/>
    <mergeCell ref="A101:B101"/>
    <mergeCell ref="E101:J101"/>
    <mergeCell ref="A105:B105"/>
    <mergeCell ref="E105:J105"/>
    <mergeCell ref="A86:B86"/>
    <mergeCell ref="E86:J86"/>
    <mergeCell ref="A90:B90"/>
    <mergeCell ref="E90:J90"/>
    <mergeCell ref="A94:B94"/>
    <mergeCell ref="E94:J94"/>
    <mergeCell ref="A74:B74"/>
    <mergeCell ref="E74:J74"/>
    <mergeCell ref="A78:B78"/>
    <mergeCell ref="E78:J78"/>
    <mergeCell ref="A82:B82"/>
    <mergeCell ref="E82:J82"/>
    <mergeCell ref="A62:B62"/>
    <mergeCell ref="E62:J62"/>
    <mergeCell ref="A66:B66"/>
    <mergeCell ref="E66:J66"/>
    <mergeCell ref="A70:B70"/>
    <mergeCell ref="E70:J70"/>
    <mergeCell ref="A50:B50"/>
    <mergeCell ref="E50:J50"/>
    <mergeCell ref="A54:B54"/>
    <mergeCell ref="E54:J54"/>
    <mergeCell ref="A58:B58"/>
    <mergeCell ref="E58:J58"/>
    <mergeCell ref="A39:B39"/>
    <mergeCell ref="E39:J39"/>
    <mergeCell ref="A43:B43"/>
    <mergeCell ref="E43:J43"/>
    <mergeCell ref="A47:B47"/>
    <mergeCell ref="E47:J47"/>
    <mergeCell ref="A27:B27"/>
    <mergeCell ref="E27:J27"/>
    <mergeCell ref="A31:B31"/>
    <mergeCell ref="E31:J31"/>
    <mergeCell ref="A35:B35"/>
    <mergeCell ref="E35:J35"/>
    <mergeCell ref="A15:B15"/>
    <mergeCell ref="E15:J15"/>
    <mergeCell ref="A19:B19"/>
    <mergeCell ref="E19:J19"/>
    <mergeCell ref="A23:B23"/>
    <mergeCell ref="E23:J23"/>
    <mergeCell ref="A3:B3"/>
    <mergeCell ref="E3:J3"/>
    <mergeCell ref="A7:B7"/>
    <mergeCell ref="E7:J7"/>
    <mergeCell ref="A11:B11"/>
    <mergeCell ref="E11:J11"/>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rowBreaks count="2" manualBreakCount="2">
    <brk id="47" max="9" man="1"/>
    <brk id="94" max="9"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dimension ref="A1:J36"/>
  <sheetViews>
    <sheetView showGridLines="0" view="pageBreakPreview" zoomScaleNormal="100" workbookViewId="0">
      <selection activeCell="D1" sqref="D1"/>
    </sheetView>
  </sheetViews>
  <sheetFormatPr defaultRowHeight="11.25" x14ac:dyDescent="0.2"/>
  <cols>
    <col min="1" max="1" width="16.7109375" style="139" bestFit="1" customWidth="1"/>
    <col min="2" max="2" width="25" style="139" customWidth="1"/>
    <col min="3" max="3" width="30.140625" style="139" customWidth="1"/>
    <col min="4" max="4" width="4.7109375" style="139" customWidth="1"/>
    <col min="5" max="5" width="25.85546875" style="139" customWidth="1"/>
    <col min="6" max="6" width="22.28515625" style="139" bestFit="1" customWidth="1"/>
    <col min="7" max="8" width="4.28515625" style="139" customWidth="1"/>
    <col min="9" max="16384" width="9.140625" style="139"/>
  </cols>
  <sheetData>
    <row r="1" spans="1:10" x14ac:dyDescent="0.2">
      <c r="C1" s="138" t="s">
        <v>193</v>
      </c>
      <c r="D1" s="138"/>
      <c r="E1" s="138"/>
      <c r="F1" s="141"/>
      <c r="G1" s="141"/>
      <c r="H1" s="141"/>
      <c r="I1" s="141"/>
      <c r="J1" s="141"/>
    </row>
    <row r="2" spans="1:10" s="55" customFormat="1" ht="12.75" x14ac:dyDescent="0.2">
      <c r="A2" s="136" t="s">
        <v>195</v>
      </c>
      <c r="B2" s="136" t="s">
        <v>196</v>
      </c>
      <c r="C2" s="135" t="s">
        <v>194</v>
      </c>
      <c r="D2" s="144" t="s">
        <v>197</v>
      </c>
      <c r="E2" s="140"/>
      <c r="F2" s="206" t="s">
        <v>123</v>
      </c>
      <c r="G2" s="134"/>
      <c r="H2" s="134"/>
      <c r="I2" s="133"/>
      <c r="J2" s="133"/>
    </row>
    <row r="3" spans="1:10" s="55" customFormat="1" ht="12.75" x14ac:dyDescent="0.15">
      <c r="A3" s="142">
        <v>1</v>
      </c>
      <c r="B3" s="137" t="str">
        <f>IF(('1-zapasy'!L4+'1-zapasy'!M4)=3,'1-zapasy'!K4,"druhý ze skupiny 1A")</f>
        <v>druhý ze skupiny 1A</v>
      </c>
      <c r="C3" s="205" t="str">
        <f>IF(('1-zapasy'!L3+'1-zapasy'!M3)=3,'1-zapasy'!K3,"vítěz skupiny 1A")</f>
        <v>vítěz skupiny 1A</v>
      </c>
      <c r="D3" s="151">
        <v>16</v>
      </c>
      <c r="E3" s="12" t="str">
        <f t="shared" ref="E3:E18" si="0">VLOOKUP(D3,A$3:B$18,2)</f>
        <v>druhý ze skupiny 1P</v>
      </c>
      <c r="F3" s="207">
        <f>'1-los'!I17</f>
        <v>0</v>
      </c>
      <c r="G3" s="134"/>
      <c r="H3" s="134"/>
      <c r="I3" s="133"/>
      <c r="J3" s="133"/>
    </row>
    <row r="4" spans="1:10" s="55" customFormat="1" ht="12.75" x14ac:dyDescent="0.15">
      <c r="A4" s="142">
        <v>2</v>
      </c>
      <c r="B4" s="137" t="str">
        <f>IF(('1-zapasy'!L12+'1-zapasy'!M12)=3,'1-zapasy'!K12,"druhý ze skupiny 1B")</f>
        <v>HORNÍČEK Lukáš (TTC MS Brno)</v>
      </c>
      <c r="C4" s="205" t="str">
        <f>IF(('1-zapasy'!L11+'1-zapasy'!M11)=3,'1-zapasy'!K11,"vítěz skupiny 1B")</f>
        <v>HOLUBOVÁ Simona (SKST Hodonín)</v>
      </c>
      <c r="D4" s="152">
        <v>9</v>
      </c>
      <c r="E4" s="12" t="str">
        <f t="shared" si="0"/>
        <v>druhý ze skupiny 1I</v>
      </c>
      <c r="F4" s="206" t="s">
        <v>93</v>
      </c>
      <c r="G4" s="133"/>
      <c r="H4" s="133"/>
      <c r="I4" s="133"/>
      <c r="J4" s="133"/>
    </row>
    <row r="5" spans="1:10" s="55" customFormat="1" ht="12.75" x14ac:dyDescent="0.15">
      <c r="A5" s="142">
        <v>3</v>
      </c>
      <c r="B5" s="137" t="str">
        <f>IF(('1-zapasy'!L20+'1-zapasy'!M20)=3,'1-zapasy'!K20,"druhý ze skupiny 1C")</f>
        <v>VINCENEC Oliver (KST Vyškov)</v>
      </c>
      <c r="C5" s="205" t="str">
        <f>IF(('1-zapasy'!L19+'1-zapasy'!M19)=3,'1-zapasy'!K19,"vítěz skupiny 1C")</f>
        <v>MASOPUSTOVÁ Lucie (MSK Břeclav)</v>
      </c>
      <c r="D5" s="152">
        <v>1</v>
      </c>
      <c r="E5" s="12" t="str">
        <f t="shared" si="0"/>
        <v>druhý ze skupiny 1A</v>
      </c>
      <c r="F5" s="208">
        <f>'1-los'!I11</f>
        <v>0</v>
      </c>
      <c r="G5" s="133"/>
      <c r="H5" s="133"/>
      <c r="I5" s="133"/>
      <c r="J5" s="133"/>
    </row>
    <row r="6" spans="1:10" s="55" customFormat="1" ht="12.75" x14ac:dyDescent="0.15">
      <c r="A6" s="142">
        <v>4</v>
      </c>
      <c r="B6" s="137" t="str">
        <f>IF(('1-zapasy'!L28+'1-zapasy'!M28)=3,'1-zapasy'!K28,"druhý ze skupiny 1D")</f>
        <v>SOBOTÍKOVÁ Monika (TTC MS Brno)</v>
      </c>
      <c r="C6" s="205" t="str">
        <f>IF(('1-zapasy'!L27+'1-zapasy'!M27)=3,'1-zapasy'!K27,"vítěz skupiny 1D")</f>
        <v>LUSKA Petr (KST Vyškov)</v>
      </c>
      <c r="D6" s="152">
        <v>8</v>
      </c>
      <c r="E6" s="12" t="str">
        <f t="shared" si="0"/>
        <v>PAŘÍZEK Richard (SKST Hodonín)</v>
      </c>
      <c r="F6" s="206" t="s">
        <v>124</v>
      </c>
      <c r="G6" s="133"/>
      <c r="H6" s="133"/>
      <c r="I6" s="133"/>
      <c r="J6" s="133"/>
    </row>
    <row r="7" spans="1:10" s="55" customFormat="1" ht="12.75" x14ac:dyDescent="0.15">
      <c r="A7" s="142">
        <v>5</v>
      </c>
      <c r="B7" s="137" t="str">
        <f>IF(('1-zapasy'!L36+'1-zapasy'!M36)=3,'1-zapasy'!K36,"druhý ze skupiny 1E")</f>
        <v>CHALÚPEK Filip (TTC MS Brno)</v>
      </c>
      <c r="C7" s="205" t="str">
        <f>IF(('1-zapasy'!L35+'1-zapasy'!M35)=3,'1-zapasy'!K35,"vítěz skupiny 1E")</f>
        <v>KRIŠTOF Lukáš (TTC Koral Tišnov)</v>
      </c>
      <c r="D7" s="152">
        <v>2</v>
      </c>
      <c r="E7" s="12" t="str">
        <f t="shared" si="0"/>
        <v>HORNÍČEK Lukáš (TTC MS Brno)</v>
      </c>
      <c r="F7" s="207" t="e">
        <f>'2-zapasy'!B18+'3-los'!F31</f>
        <v>#REF!</v>
      </c>
      <c r="G7" s="133"/>
      <c r="H7" s="133"/>
      <c r="I7" s="133"/>
      <c r="J7" s="133"/>
    </row>
    <row r="8" spans="1:10" s="55" customFormat="1" ht="12.75" x14ac:dyDescent="0.15">
      <c r="A8" s="142">
        <v>6</v>
      </c>
      <c r="B8" s="137" t="str">
        <f>IF(('1-zapasy'!L44+'1-zapasy'!M44)=3,'1-zapasy'!K44,"druhý ze skupiny 1F")</f>
        <v>DREITS Anastasiia (TTC Koral Tišnov)</v>
      </c>
      <c r="C8" s="205" t="str">
        <f>IF(('1-zapasy'!L43+'1-zapasy'!M43)=3,'1-zapasy'!K43,"vítěz skupiny 1F")</f>
        <v>BUK Lukáš (TTC MS Brno)</v>
      </c>
      <c r="D8" s="152">
        <v>7</v>
      </c>
      <c r="E8" s="12" t="str">
        <f t="shared" si="0"/>
        <v>druhý ze skupiny 1G</v>
      </c>
      <c r="F8" s="2"/>
      <c r="G8" s="2"/>
      <c r="H8" s="2"/>
      <c r="I8" s="2"/>
      <c r="J8" s="2"/>
    </row>
    <row r="9" spans="1:10" s="55" customFormat="1" ht="12.75" x14ac:dyDescent="0.15">
      <c r="A9" s="142">
        <v>7</v>
      </c>
      <c r="B9" s="137" t="str">
        <f>IF(('1-zapasy'!L52+'1-zapasy'!M52)=3,'1-zapasy'!K52,"druhý ze skupiny 1G")</f>
        <v>druhý ze skupiny 1G</v>
      </c>
      <c r="C9" s="205" t="str">
        <f>IF(('1-zapasy'!L51+'1-zapasy'!M51)=3,'1-zapasy'!K51,"vítěz skupiny 1G")</f>
        <v>vítěz skupiny 1G</v>
      </c>
      <c r="D9" s="152">
        <v>6</v>
      </c>
      <c r="E9" s="12" t="str">
        <f t="shared" si="0"/>
        <v>DREITS Anastasiia (TTC Koral Tišnov)</v>
      </c>
      <c r="F9" s="2"/>
      <c r="G9" s="2"/>
      <c r="H9" s="2"/>
      <c r="I9" s="2"/>
      <c r="J9" s="2"/>
    </row>
    <row r="10" spans="1:10" s="55" customFormat="1" ht="12.75" x14ac:dyDescent="0.15">
      <c r="A10" s="142">
        <v>8</v>
      </c>
      <c r="B10" s="137" t="str">
        <f>IF(('1-zapasy'!L60+'1-zapasy'!M60)=3,'1-zapasy'!K60,"druhý ze skupiny 1H")</f>
        <v>PAŘÍZEK Richard (SKST Hodonín)</v>
      </c>
      <c r="C10" s="205" t="str">
        <f>IF(('1-zapasy'!L59+'1-zapasy'!M59)=3,'1-zapasy'!K59,"vítěz skupiny 1H")</f>
        <v>DOFEK David (KST Vyškov)</v>
      </c>
      <c r="D10" s="152">
        <v>5</v>
      </c>
      <c r="E10" s="12" t="str">
        <f t="shared" si="0"/>
        <v>CHALÚPEK Filip (TTC MS Brno)</v>
      </c>
      <c r="F10" s="2"/>
      <c r="G10" s="2"/>
      <c r="H10" s="2"/>
      <c r="I10" s="2"/>
      <c r="J10" s="2"/>
    </row>
    <row r="11" spans="1:10" s="55" customFormat="1" ht="12.75" x14ac:dyDescent="0.15">
      <c r="A11" s="142">
        <v>9</v>
      </c>
      <c r="B11" s="137" t="str">
        <f>IF(('1-zapasy'!L68+'1-zapasy'!M68)=3,'1-zapasy'!K68,"druhý ze skupiny 1I")</f>
        <v>druhý ze skupiny 1I</v>
      </c>
      <c r="C11" s="205" t="str">
        <f>IF(('1-zapasy'!L67+'1-zapasy'!M67)=3,'1-zapasy'!K67,"vítěz skupiny 1I")</f>
        <v>vítěz skupiny 1I</v>
      </c>
      <c r="D11" s="152">
        <v>4</v>
      </c>
      <c r="E11" s="12" t="str">
        <f t="shared" si="0"/>
        <v>SOBOTÍKOVÁ Monika (TTC MS Brno)</v>
      </c>
      <c r="F11" s="2"/>
      <c r="G11" s="2"/>
      <c r="H11" s="2"/>
      <c r="I11" s="2"/>
      <c r="J11" s="2"/>
    </row>
    <row r="12" spans="1:10" s="55" customFormat="1" ht="12.75" x14ac:dyDescent="0.15">
      <c r="A12" s="142">
        <v>10</v>
      </c>
      <c r="B12" s="137" t="str">
        <f>IF(('1-zapasy'!L76+'1-zapasy'!M76)=3,'1-zapasy'!K76,"druhý ze skupiny 1J")</f>
        <v>druhý ze skupiny 1J</v>
      </c>
      <c r="C12" s="205" t="str">
        <f>IF(('1-zapasy'!L75+'1-zapasy'!M75)=3,'1-zapasy'!K75,"vítěz skupiny 1J")</f>
        <v>vítěz skupiny 1J</v>
      </c>
      <c r="D12" s="152">
        <v>3</v>
      </c>
      <c r="E12" s="12" t="str">
        <f t="shared" si="0"/>
        <v>VINCENEC Oliver (KST Vyškov)</v>
      </c>
      <c r="F12" s="2"/>
      <c r="G12" s="2"/>
      <c r="H12" s="2"/>
      <c r="I12" s="2"/>
      <c r="J12" s="2"/>
    </row>
    <row r="13" spans="1:10" s="55" customFormat="1" ht="12.75" x14ac:dyDescent="0.15">
      <c r="A13" s="142">
        <v>11</v>
      </c>
      <c r="B13" s="137" t="str">
        <f>IF(('1-zapasy'!L84+'1-zapasy'!M84)=3,'1-zapasy'!K84,"druhý ze skupiny 1K")</f>
        <v>druhý ze skupiny 1K</v>
      </c>
      <c r="C13" s="205" t="str">
        <f>IF(('1-zapasy'!L83+'1-zapasy'!M83)=3,'1-zapasy'!K83,"vítěz skupiny 1K")</f>
        <v>vítěz skupiny 1K</v>
      </c>
      <c r="D13" s="152">
        <v>15</v>
      </c>
      <c r="E13" s="12" t="str">
        <f t="shared" si="0"/>
        <v>druhý ze skupiny 1O</v>
      </c>
      <c r="F13" s="2"/>
      <c r="G13" s="2"/>
      <c r="H13" s="2"/>
      <c r="I13" s="2"/>
      <c r="J13" s="2"/>
    </row>
    <row r="14" spans="1:10" s="55" customFormat="1" ht="12.75" x14ac:dyDescent="0.15">
      <c r="A14" s="142">
        <v>12</v>
      </c>
      <c r="B14" s="137" t="str">
        <f>IF(('1-zapasy'!L92+'1-zapasy'!M92)=3,'1-zapasy'!K92,"druhý ze skupiny 1L")</f>
        <v>druhý ze skupiny 1L</v>
      </c>
      <c r="C14" s="205" t="str">
        <f>IF(('1-zapasy'!L91+'1-zapasy'!M91)=3,'1-zapasy'!K91,"vítěz skupiny 1L")</f>
        <v>vítěz skupiny 1L</v>
      </c>
      <c r="D14" s="152">
        <v>14</v>
      </c>
      <c r="E14" s="12" t="str">
        <f t="shared" si="0"/>
        <v>druhý ze skupiny 1N</v>
      </c>
      <c r="F14" s="2"/>
      <c r="G14" s="2"/>
      <c r="H14" s="2"/>
      <c r="I14" s="2"/>
      <c r="J14" s="2"/>
    </row>
    <row r="15" spans="1:10" s="55" customFormat="1" ht="12.75" x14ac:dyDescent="0.15">
      <c r="A15" s="142">
        <v>13</v>
      </c>
      <c r="B15" s="137" t="str">
        <f>IF(('1-zapasy'!L100+'1-zapasy'!M100)=3,'1-zapasy'!K100,"druhý ze skupiny 1M")</f>
        <v>druhý ze skupiny 1M</v>
      </c>
      <c r="C15" s="205" t="str">
        <f>IF(('1-zapasy'!L99+'1-zapasy'!M99)=3,'1-zapasy'!K99,"vítěz skupiny 1M")</f>
        <v>vítěz skupiny 1M</v>
      </c>
      <c r="D15" s="152">
        <v>13</v>
      </c>
      <c r="E15" s="12" t="str">
        <f t="shared" si="0"/>
        <v>druhý ze skupiny 1M</v>
      </c>
      <c r="F15" s="2"/>
      <c r="G15" s="2"/>
      <c r="H15" s="2"/>
      <c r="I15" s="2"/>
      <c r="J15" s="2"/>
    </row>
    <row r="16" spans="1:10" s="55" customFormat="1" ht="12.75" x14ac:dyDescent="0.15">
      <c r="A16" s="142">
        <v>14</v>
      </c>
      <c r="B16" s="137" t="str">
        <f>IF(('1-zapasy'!L108+'1-zapasy'!M108)=3,'1-zapasy'!K108,"druhý ze skupiny 1N")</f>
        <v>druhý ze skupiny 1N</v>
      </c>
      <c r="C16" s="205" t="str">
        <f>IF(('1-zapasy'!L107+'1-zapasy'!M107)=3,'1-zapasy'!K107,"vítěz skupiny 1N")</f>
        <v>vítěz skupiny 1N</v>
      </c>
      <c r="D16" s="152">
        <v>12</v>
      </c>
      <c r="E16" s="12" t="str">
        <f t="shared" si="0"/>
        <v>druhý ze skupiny 1L</v>
      </c>
      <c r="F16" s="2"/>
      <c r="G16" s="2"/>
      <c r="H16" s="2"/>
      <c r="I16" s="2"/>
      <c r="J16" s="2"/>
    </row>
    <row r="17" spans="1:10" s="55" customFormat="1" ht="12.75" x14ac:dyDescent="0.15">
      <c r="A17" s="142">
        <v>15</v>
      </c>
      <c r="B17" s="137" t="str">
        <f>IF(('1-zapasy'!L116+'1-zapasy'!M116)=3,'1-zapasy'!K116,"druhý ze skupiny 1O")</f>
        <v>druhý ze skupiny 1O</v>
      </c>
      <c r="C17" s="205" t="str">
        <f>IF(('1-zapasy'!L115+'1-zapasy'!M115)=3,'1-zapasy'!K115,"vítěz skupiny 1O")</f>
        <v>vítěz skupiny 1O</v>
      </c>
      <c r="D17" s="152">
        <v>11</v>
      </c>
      <c r="E17" s="12" t="str">
        <f t="shared" si="0"/>
        <v>druhý ze skupiny 1K</v>
      </c>
      <c r="F17" s="2"/>
      <c r="G17" s="2"/>
      <c r="H17" s="2"/>
      <c r="I17" s="2"/>
      <c r="J17" s="2"/>
    </row>
    <row r="18" spans="1:10" s="55" customFormat="1" ht="12.75" x14ac:dyDescent="0.15">
      <c r="A18" s="142">
        <v>16</v>
      </c>
      <c r="B18" s="137" t="str">
        <f>IF(('1-zapasy'!L124+'1-zapasy'!M124)=3,'1-zapasy'!K124,"druhý ze skupiny 1P")</f>
        <v>druhý ze skupiny 1P</v>
      </c>
      <c r="C18" s="205" t="str">
        <f>IF(('1-zapasy'!L123+'1-zapasy'!M123)=3,'1-zapasy'!K123,"vítěz skupiny 1P")</f>
        <v>vítěz skupiny 1P</v>
      </c>
      <c r="D18" s="152">
        <v>10</v>
      </c>
      <c r="E18" s="12" t="str">
        <f t="shared" si="0"/>
        <v>druhý ze skupiny 1J</v>
      </c>
      <c r="F18" s="2"/>
      <c r="G18" s="2"/>
      <c r="H18" s="2"/>
      <c r="I18" s="2"/>
      <c r="J18" s="2"/>
    </row>
    <row r="20" spans="1:10" s="2" customFormat="1" ht="12.75" x14ac:dyDescent="0.2"/>
    <row r="21" spans="1:10" s="2" customFormat="1" ht="12.75" x14ac:dyDescent="0.2"/>
    <row r="22" spans="1:10" s="2" customFormat="1" ht="12.75" x14ac:dyDescent="0.2"/>
    <row r="23" spans="1:10" s="2" customFormat="1" ht="12.75" x14ac:dyDescent="0.2"/>
    <row r="24" spans="1:10" s="2" customFormat="1" ht="12.75" x14ac:dyDescent="0.2"/>
    <row r="25" spans="1:10" s="2" customFormat="1" ht="12.75" x14ac:dyDescent="0.2"/>
    <row r="26" spans="1:10" s="2" customFormat="1" ht="12.75" x14ac:dyDescent="0.2"/>
    <row r="27" spans="1:10" s="2" customFormat="1" ht="12.75" x14ac:dyDescent="0.2"/>
    <row r="28" spans="1:10" s="2" customFormat="1" ht="12.75" x14ac:dyDescent="0.2"/>
    <row r="29" spans="1:10" s="2" customFormat="1" ht="12.75" x14ac:dyDescent="0.2"/>
    <row r="30" spans="1:10" s="2" customFormat="1" ht="12.75" x14ac:dyDescent="0.2"/>
    <row r="31" spans="1:10" s="2" customFormat="1" ht="12.75" x14ac:dyDescent="0.2"/>
    <row r="32" spans="1:10" s="2" customFormat="1" ht="12.75" x14ac:dyDescent="0.2"/>
    <row r="33" s="2" customFormat="1" ht="12.75" x14ac:dyDescent="0.2"/>
    <row r="34" s="2" customFormat="1" ht="12.75" x14ac:dyDescent="0.2"/>
    <row r="35" s="2" customFormat="1" ht="12.75" x14ac:dyDescent="0.2"/>
    <row r="36" s="2" customFormat="1" ht="12.75" x14ac:dyDescent="0.2"/>
  </sheetData>
  <printOptions horizontalCentered="1" verticalCentered="1"/>
  <pageMargins left="0.39370078740157483" right="0.39370078740157483" top="0.39370078740157483" bottom="0.39370078740157483" header="0.51181102362204722" footer="0.51181102362204722"/>
  <pageSetup paperSize="9" scale="130" orientation="landscape" horizontalDpi="4294967292" verticalDpi="360"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1"/>
  <dimension ref="A1:R18"/>
  <sheetViews>
    <sheetView showGridLines="0" view="pageBreakPreview" zoomScaleNormal="100" workbookViewId="0">
      <selection activeCell="D14" sqref="D14"/>
    </sheetView>
  </sheetViews>
  <sheetFormatPr defaultRowHeight="12.75" x14ac:dyDescent="0.2"/>
  <cols>
    <col min="1" max="1" width="7.7109375" style="20" bestFit="1" customWidth="1"/>
    <col min="2" max="2" width="7.140625" style="20" bestFit="1" customWidth="1"/>
    <col min="3" max="3" width="3.85546875" style="20" bestFit="1" customWidth="1"/>
    <col min="4" max="4" width="25" style="2" bestFit="1" customWidth="1"/>
    <col min="5" max="5" width="24.140625" style="2" customWidth="1"/>
    <col min="6" max="8" width="5" style="2" bestFit="1" customWidth="1"/>
    <col min="9" max="10" width="4.28515625" style="2" customWidth="1"/>
    <col min="11" max="11" width="19" style="2" bestFit="1" customWidth="1"/>
    <col min="12" max="13" width="2.5703125" style="2" bestFit="1" customWidth="1"/>
    <col min="14" max="14" width="4.85546875" style="2" bestFit="1" customWidth="1"/>
    <col min="15" max="15" width="4.42578125" style="2" bestFit="1" customWidth="1"/>
    <col min="16" max="16" width="4.140625" style="2" customWidth="1"/>
    <col min="17" max="17" width="15.140625" style="2" bestFit="1" customWidth="1"/>
    <col min="18" max="16384" width="9.140625" style="2"/>
  </cols>
  <sheetData>
    <row r="1" spans="1:18" s="13" customFormat="1" ht="27" customHeight="1" x14ac:dyDescent="0.2">
      <c r="A1" s="40" t="s">
        <v>125</v>
      </c>
      <c r="B1" s="40"/>
      <c r="C1" s="40"/>
      <c r="D1" s="40"/>
      <c r="E1" s="40"/>
      <c r="F1" s="40"/>
      <c r="G1" s="40"/>
      <c r="H1" s="40"/>
      <c r="I1" s="40"/>
      <c r="J1" s="40"/>
    </row>
    <row r="2" spans="1:18" x14ac:dyDescent="0.2">
      <c r="A2" s="21" t="s">
        <v>95</v>
      </c>
      <c r="B2" s="44" t="s">
        <v>59</v>
      </c>
      <c r="C2" s="44" t="s">
        <v>94</v>
      </c>
      <c r="D2" s="15" t="s">
        <v>96</v>
      </c>
      <c r="E2" s="15" t="s">
        <v>97</v>
      </c>
      <c r="F2" s="64" t="s">
        <v>16</v>
      </c>
      <c r="G2" s="64" t="s">
        <v>17</v>
      </c>
      <c r="H2" s="64" t="s">
        <v>18</v>
      </c>
      <c r="I2" s="42" t="s">
        <v>99</v>
      </c>
      <c r="J2" s="42"/>
      <c r="K2" s="2" t="s">
        <v>166</v>
      </c>
    </row>
    <row r="3" spans="1:18" ht="18" customHeight="1" x14ac:dyDescent="0.2">
      <c r="A3" s="14" t="s">
        <v>130</v>
      </c>
      <c r="B3" s="43">
        <f>'2-los'!F3</f>
        <v>0</v>
      </c>
      <c r="C3" s="78" t="e">
        <f>IF('1-zapasy'!#REF!='2-los'!F$5,1,'1-zapasy'!#REF!+1)</f>
        <v>#REF!</v>
      </c>
      <c r="D3" s="23" t="str">
        <f>'2-los'!C3</f>
        <v>vítěz skupiny 1A</v>
      </c>
      <c r="E3" s="23" t="str">
        <f>'2-los'!E3</f>
        <v>druhý ze skupiny 1P</v>
      </c>
      <c r="F3" s="25"/>
      <c r="G3" s="25"/>
      <c r="H3" s="25"/>
      <c r="I3" s="16" t="str">
        <f>IF(F3="","",((IF(F3&gt;0,1,0)+IF(G3&gt;0,1,0)+IF(H3&gt;0,1,0))))</f>
        <v/>
      </c>
      <c r="J3" s="16" t="str">
        <f>IF(F3="","",IF(F3&gt;0,0,1)+IF(G3="",0,IF(G3&gt;0,0,1))+IF(H3="",0,IF(H3&gt;0,0,1)))</f>
        <v/>
      </c>
      <c r="K3" s="2" t="str">
        <f>IF(I3="","vítěz utkání 2st-1",IF(I3=2,D3,E3))</f>
        <v>vítěz utkání 2st-1</v>
      </c>
      <c r="L3" s="2" t="str">
        <f>IF(I3="","",IF(I3=2,2,J3))</f>
        <v/>
      </c>
      <c r="M3" s="2" t="str">
        <f>IF(I3=2,J3,I3)</f>
        <v/>
      </c>
      <c r="N3" s="2">
        <f>IF(L3=I3,F3,-F3)</f>
        <v>0</v>
      </c>
      <c r="O3" s="2">
        <f>IF(L3=I3,G3,-G3)</f>
        <v>0</v>
      </c>
      <c r="P3" s="2" t="str">
        <f>IF(H3="","",IF(L3=I3,H3,-H3))</f>
        <v/>
      </c>
      <c r="Q3" s="2" t="e">
        <f>CONCATENATE(" stůl č. ",C3)</f>
        <v>#REF!</v>
      </c>
      <c r="R3" s="2" t="str">
        <f>IF(K3="",Q3,CONCATENATE(L3,":",M3,"(",N3," ",O3," ",P3,")"))</f>
        <v>:(0 0 )</v>
      </c>
    </row>
    <row r="4" spans="1:18" ht="18" customHeight="1" x14ac:dyDescent="0.2">
      <c r="A4" s="14" t="s">
        <v>131</v>
      </c>
      <c r="B4" s="79" t="e">
        <f>IF(C3='2-los'!F$5,B3+'1-los'!I$14,B3)</f>
        <v>#REF!</v>
      </c>
      <c r="C4" s="78" t="e">
        <f>IF(C3='2-los'!F$5,1,C3+1)</f>
        <v>#REF!</v>
      </c>
      <c r="D4" s="23" t="str">
        <f>'2-los'!C4</f>
        <v>HOLUBOVÁ Simona (SKST Hodonín)</v>
      </c>
      <c r="E4" s="23" t="str">
        <f>'2-los'!E4</f>
        <v>druhý ze skupiny 1I</v>
      </c>
      <c r="F4" s="25"/>
      <c r="G4" s="25"/>
      <c r="H4" s="25"/>
      <c r="I4" s="16" t="str">
        <f t="shared" ref="I4:I18" si="0">IF(F4="","",((IF(F4&gt;0,1,0)+IF(G4&gt;0,1,0)+IF(H4&gt;0,1,0))))</f>
        <v/>
      </c>
      <c r="J4" s="16" t="str">
        <f t="shared" ref="J4:J18" si="1">IF(F4="","",IF(F4&gt;0,0,1)+IF(G4="",0,IF(G4&gt;0,0,1))+IF(H4="",0,IF(H4&gt;0,0,1)))</f>
        <v/>
      </c>
      <c r="K4" s="2" t="str">
        <f>IF(I4="","vítěz utkání 2st-2",IF(I4=2,D4,E4))</f>
        <v>vítěz utkání 2st-2</v>
      </c>
      <c r="L4" s="2" t="str">
        <f t="shared" ref="L4:L18" si="2">IF(I4="","",IF(I4=2,2,J4))</f>
        <v/>
      </c>
      <c r="M4" s="2" t="str">
        <f t="shared" ref="M4:M18" si="3">IF(I4=2,J4,I4)</f>
        <v/>
      </c>
      <c r="N4" s="2">
        <f t="shared" ref="N4:N18" si="4">IF(L4=I4,F4,-F4)</f>
        <v>0</v>
      </c>
      <c r="O4" s="2">
        <f t="shared" ref="O4:O18" si="5">IF(L4=I4,G4,-G4)</f>
        <v>0</v>
      </c>
      <c r="P4" s="2" t="str">
        <f t="shared" ref="P4:P18" si="6">IF(H4="","",IF(L4=I4,H4,-H4))</f>
        <v/>
      </c>
      <c r="Q4" s="2" t="e">
        <f t="shared" ref="Q4:Q18" si="7">CONCATENATE(" stůl č. ",C4)</f>
        <v>#REF!</v>
      </c>
      <c r="R4" s="2" t="str">
        <f t="shared" ref="R4:R18" si="8">IF(K4="",Q4,CONCATENATE(L4,":",M4,"(",N4," ",O4," ",P4,")"))</f>
        <v>:(0 0 )</v>
      </c>
    </row>
    <row r="5" spans="1:18" ht="18" customHeight="1" x14ac:dyDescent="0.2">
      <c r="A5" s="14" t="s">
        <v>132</v>
      </c>
      <c r="B5" s="79" t="e">
        <f>IF(C4='2-los'!F$5,B4+'1-los'!I$14,B4)</f>
        <v>#REF!</v>
      </c>
      <c r="C5" s="78" t="e">
        <f>IF(C4='2-los'!F$5,1,C4+1)</f>
        <v>#REF!</v>
      </c>
      <c r="D5" s="23" t="str">
        <f>'2-los'!C5</f>
        <v>MASOPUSTOVÁ Lucie (MSK Břeclav)</v>
      </c>
      <c r="E5" s="23" t="str">
        <f>'2-los'!E5</f>
        <v>druhý ze skupiny 1A</v>
      </c>
      <c r="F5" s="25"/>
      <c r="G5" s="25"/>
      <c r="H5" s="25"/>
      <c r="I5" s="16" t="str">
        <f t="shared" si="0"/>
        <v/>
      </c>
      <c r="J5" s="16" t="str">
        <f t="shared" si="1"/>
        <v/>
      </c>
      <c r="K5" s="2" t="str">
        <f>IF(I5="","vítěz utkání 2st-3",IF(I5=2,D5,E5))</f>
        <v>vítěz utkání 2st-3</v>
      </c>
      <c r="L5" s="2" t="str">
        <f t="shared" si="2"/>
        <v/>
      </c>
      <c r="M5" s="2" t="str">
        <f t="shared" si="3"/>
        <v/>
      </c>
      <c r="N5" s="2">
        <f t="shared" si="4"/>
        <v>0</v>
      </c>
      <c r="O5" s="2">
        <f t="shared" si="5"/>
        <v>0</v>
      </c>
      <c r="P5" s="2" t="str">
        <f t="shared" si="6"/>
        <v/>
      </c>
      <c r="Q5" s="2" t="e">
        <f t="shared" si="7"/>
        <v>#REF!</v>
      </c>
      <c r="R5" s="2" t="str">
        <f t="shared" si="8"/>
        <v>:(0 0 )</v>
      </c>
    </row>
    <row r="6" spans="1:18" ht="18" customHeight="1" x14ac:dyDescent="0.2">
      <c r="A6" s="14" t="s">
        <v>133</v>
      </c>
      <c r="B6" s="79" t="e">
        <f>IF(C5='2-los'!F$5,B5+'1-los'!I$14,B5)</f>
        <v>#REF!</v>
      </c>
      <c r="C6" s="78" t="e">
        <f>IF(C5='2-los'!F$5,1,C5+1)</f>
        <v>#REF!</v>
      </c>
      <c r="D6" s="23" t="str">
        <f>'2-los'!C6</f>
        <v>LUSKA Petr (KST Vyškov)</v>
      </c>
      <c r="E6" s="23" t="str">
        <f>'2-los'!E6</f>
        <v>PAŘÍZEK Richard (SKST Hodonín)</v>
      </c>
      <c r="F6" s="25"/>
      <c r="G6" s="25"/>
      <c r="H6" s="25"/>
      <c r="I6" s="16" t="str">
        <f t="shared" si="0"/>
        <v/>
      </c>
      <c r="J6" s="16" t="str">
        <f t="shared" si="1"/>
        <v/>
      </c>
      <c r="K6" s="2" t="str">
        <f>IF(I6="","vítěz utkání 2st-4",IF(I6=2,D6,E6))</f>
        <v>vítěz utkání 2st-4</v>
      </c>
      <c r="L6" s="2" t="str">
        <f t="shared" si="2"/>
        <v/>
      </c>
      <c r="M6" s="2" t="str">
        <f t="shared" si="3"/>
        <v/>
      </c>
      <c r="N6" s="2">
        <f t="shared" si="4"/>
        <v>0</v>
      </c>
      <c r="O6" s="2">
        <f t="shared" si="5"/>
        <v>0</v>
      </c>
      <c r="P6" s="2" t="str">
        <f t="shared" si="6"/>
        <v/>
      </c>
      <c r="Q6" s="2" t="e">
        <f t="shared" si="7"/>
        <v>#REF!</v>
      </c>
      <c r="R6" s="2" t="str">
        <f t="shared" si="8"/>
        <v>:(0 0 )</v>
      </c>
    </row>
    <row r="7" spans="1:18" ht="18" customHeight="1" x14ac:dyDescent="0.2">
      <c r="A7" s="14" t="s">
        <v>134</v>
      </c>
      <c r="B7" s="79" t="e">
        <f>IF(C6='2-los'!F$5,B6+'1-los'!I$14,B6)</f>
        <v>#REF!</v>
      </c>
      <c r="C7" s="78" t="e">
        <f>IF(C6='2-los'!F$5,1,C6+1)</f>
        <v>#REF!</v>
      </c>
      <c r="D7" s="23" t="str">
        <f>'2-los'!C7</f>
        <v>KRIŠTOF Lukáš (TTC Koral Tišnov)</v>
      </c>
      <c r="E7" s="23" t="str">
        <f>'2-los'!E7</f>
        <v>HORNÍČEK Lukáš (TTC MS Brno)</v>
      </c>
      <c r="F7" s="25"/>
      <c r="G7" s="25"/>
      <c r="H7" s="25"/>
      <c r="I7" s="16" t="str">
        <f t="shared" si="0"/>
        <v/>
      </c>
      <c r="J7" s="16" t="str">
        <f t="shared" si="1"/>
        <v/>
      </c>
      <c r="K7" s="2" t="str">
        <f>IF(I7="","vítěz utkání 2st-5",IF(I7=2,D7,E7))</f>
        <v>vítěz utkání 2st-5</v>
      </c>
      <c r="L7" s="2" t="str">
        <f t="shared" si="2"/>
        <v/>
      </c>
      <c r="M7" s="2" t="str">
        <f t="shared" si="3"/>
        <v/>
      </c>
      <c r="N7" s="2">
        <f t="shared" si="4"/>
        <v>0</v>
      </c>
      <c r="O7" s="2">
        <f t="shared" si="5"/>
        <v>0</v>
      </c>
      <c r="P7" s="2" t="str">
        <f t="shared" si="6"/>
        <v/>
      </c>
      <c r="Q7" s="2" t="e">
        <f t="shared" si="7"/>
        <v>#REF!</v>
      </c>
      <c r="R7" s="2" t="str">
        <f t="shared" si="8"/>
        <v>:(0 0 )</v>
      </c>
    </row>
    <row r="8" spans="1:18" ht="18" customHeight="1" x14ac:dyDescent="0.2">
      <c r="A8" s="14" t="s">
        <v>135</v>
      </c>
      <c r="B8" s="79" t="e">
        <f>IF(C7='2-los'!F$5,B7+'1-los'!I$14,B7)</f>
        <v>#REF!</v>
      </c>
      <c r="C8" s="78" t="e">
        <f>IF(C7='2-los'!F$5,1,C7+1)</f>
        <v>#REF!</v>
      </c>
      <c r="D8" s="23" t="str">
        <f>'2-los'!C8</f>
        <v>BUK Lukáš (TTC MS Brno)</v>
      </c>
      <c r="E8" s="23" t="str">
        <f>'2-los'!E8</f>
        <v>druhý ze skupiny 1G</v>
      </c>
      <c r="F8" s="25"/>
      <c r="G8" s="25"/>
      <c r="H8" s="25"/>
      <c r="I8" s="16" t="str">
        <f t="shared" si="0"/>
        <v/>
      </c>
      <c r="J8" s="16" t="str">
        <f t="shared" si="1"/>
        <v/>
      </c>
      <c r="K8" s="2" t="str">
        <f>IF(I8="","vítěz utkání 2st-6",IF(I8=2,D8,E8))</f>
        <v>vítěz utkání 2st-6</v>
      </c>
      <c r="L8" s="2" t="str">
        <f t="shared" si="2"/>
        <v/>
      </c>
      <c r="M8" s="2" t="str">
        <f t="shared" si="3"/>
        <v/>
      </c>
      <c r="N8" s="2">
        <f t="shared" si="4"/>
        <v>0</v>
      </c>
      <c r="O8" s="2">
        <f t="shared" si="5"/>
        <v>0</v>
      </c>
      <c r="P8" s="2" t="str">
        <f t="shared" si="6"/>
        <v/>
      </c>
      <c r="Q8" s="2" t="e">
        <f t="shared" si="7"/>
        <v>#REF!</v>
      </c>
      <c r="R8" s="2" t="str">
        <f t="shared" si="8"/>
        <v>:(0 0 )</v>
      </c>
    </row>
    <row r="9" spans="1:18" ht="18" customHeight="1" x14ac:dyDescent="0.2">
      <c r="A9" s="14" t="s">
        <v>136</v>
      </c>
      <c r="B9" s="79" t="e">
        <f>IF(C8='2-los'!F$5,B8+'1-los'!I$14,B8)</f>
        <v>#REF!</v>
      </c>
      <c r="C9" s="78" t="e">
        <f>IF(C8='2-los'!F$5,1,C8+1)</f>
        <v>#REF!</v>
      </c>
      <c r="D9" s="23" t="str">
        <f>'2-los'!C9</f>
        <v>vítěz skupiny 1G</v>
      </c>
      <c r="E9" s="23" t="str">
        <f>'2-los'!E9</f>
        <v>DREITS Anastasiia (TTC Koral Tišnov)</v>
      </c>
      <c r="F9" s="25"/>
      <c r="G9" s="25"/>
      <c r="H9" s="25"/>
      <c r="I9" s="16" t="str">
        <f t="shared" si="0"/>
        <v/>
      </c>
      <c r="J9" s="16" t="str">
        <f t="shared" si="1"/>
        <v/>
      </c>
      <c r="K9" s="2" t="str">
        <f>IF(I9="","vítěz utkání 2st-7",IF(I9=2,D9,E9))</f>
        <v>vítěz utkání 2st-7</v>
      </c>
      <c r="L9" s="2" t="str">
        <f t="shared" si="2"/>
        <v/>
      </c>
      <c r="M9" s="2" t="str">
        <f t="shared" si="3"/>
        <v/>
      </c>
      <c r="N9" s="2">
        <f t="shared" si="4"/>
        <v>0</v>
      </c>
      <c r="O9" s="2">
        <f t="shared" si="5"/>
        <v>0</v>
      </c>
      <c r="P9" s="2" t="str">
        <f t="shared" si="6"/>
        <v/>
      </c>
      <c r="Q9" s="2" t="e">
        <f t="shared" si="7"/>
        <v>#REF!</v>
      </c>
      <c r="R9" s="2" t="str">
        <f t="shared" si="8"/>
        <v>:(0 0 )</v>
      </c>
    </row>
    <row r="10" spans="1:18" ht="18" customHeight="1" x14ac:dyDescent="0.2">
      <c r="A10" s="14" t="s">
        <v>137</v>
      </c>
      <c r="B10" s="79" t="e">
        <f>IF(C9='2-los'!F$5,B9+'1-los'!I$14,B9)</f>
        <v>#REF!</v>
      </c>
      <c r="C10" s="78" t="e">
        <f>IF(C9='2-los'!F$5,1,C9+1)</f>
        <v>#REF!</v>
      </c>
      <c r="D10" s="23" t="str">
        <f>'2-los'!C10</f>
        <v>DOFEK David (KST Vyškov)</v>
      </c>
      <c r="E10" s="23" t="str">
        <f>'2-los'!E10</f>
        <v>CHALÚPEK Filip (TTC MS Brno)</v>
      </c>
      <c r="F10" s="25"/>
      <c r="G10" s="25"/>
      <c r="H10" s="25"/>
      <c r="I10" s="16" t="str">
        <f t="shared" si="0"/>
        <v/>
      </c>
      <c r="J10" s="16" t="str">
        <f t="shared" si="1"/>
        <v/>
      </c>
      <c r="K10" s="2" t="str">
        <f>IF(I10="","vítěz utkání 2st-8",IF(I10=2,D10,E10))</f>
        <v>vítěz utkání 2st-8</v>
      </c>
      <c r="L10" s="2" t="str">
        <f t="shared" si="2"/>
        <v/>
      </c>
      <c r="M10" s="2" t="str">
        <f t="shared" si="3"/>
        <v/>
      </c>
      <c r="N10" s="2">
        <f t="shared" si="4"/>
        <v>0</v>
      </c>
      <c r="O10" s="2">
        <f t="shared" si="5"/>
        <v>0</v>
      </c>
      <c r="P10" s="2" t="str">
        <f t="shared" si="6"/>
        <v/>
      </c>
      <c r="Q10" s="2" t="e">
        <f t="shared" si="7"/>
        <v>#REF!</v>
      </c>
      <c r="R10" s="2" t="str">
        <f t="shared" si="8"/>
        <v>:(0 0 )</v>
      </c>
    </row>
    <row r="11" spans="1:18" ht="18" customHeight="1" x14ac:dyDescent="0.2">
      <c r="A11" s="14" t="s">
        <v>198</v>
      </c>
      <c r="B11" s="79" t="e">
        <f>IF(C10='2-los'!F$5,B10+'1-los'!I$14,B10)</f>
        <v>#REF!</v>
      </c>
      <c r="C11" s="78" t="e">
        <f>IF(C10='2-los'!F$5,1,C10+1)</f>
        <v>#REF!</v>
      </c>
      <c r="D11" s="23" t="str">
        <f>'2-los'!C11</f>
        <v>vítěz skupiny 1I</v>
      </c>
      <c r="E11" s="23" t="str">
        <f>'2-los'!E11</f>
        <v>SOBOTÍKOVÁ Monika (TTC MS Brno)</v>
      </c>
      <c r="F11" s="25"/>
      <c r="G11" s="25"/>
      <c r="H11" s="25"/>
      <c r="I11" s="16" t="str">
        <f t="shared" si="0"/>
        <v/>
      </c>
      <c r="J11" s="16" t="str">
        <f t="shared" si="1"/>
        <v/>
      </c>
      <c r="K11" s="2" t="str">
        <f>IF(I11="","vítěz utkání 2st-9",IF(I11=2,D11,E11))</f>
        <v>vítěz utkání 2st-9</v>
      </c>
      <c r="L11" s="2" t="str">
        <f t="shared" si="2"/>
        <v/>
      </c>
      <c r="M11" s="2" t="str">
        <f t="shared" si="3"/>
        <v/>
      </c>
      <c r="N11" s="2">
        <f t="shared" si="4"/>
        <v>0</v>
      </c>
      <c r="O11" s="2">
        <f t="shared" si="5"/>
        <v>0</v>
      </c>
      <c r="P11" s="2" t="str">
        <f t="shared" si="6"/>
        <v/>
      </c>
      <c r="Q11" s="2" t="e">
        <f t="shared" si="7"/>
        <v>#REF!</v>
      </c>
      <c r="R11" s="2" t="str">
        <f t="shared" si="8"/>
        <v>:(0 0 )</v>
      </c>
    </row>
    <row r="12" spans="1:18" ht="18" customHeight="1" x14ac:dyDescent="0.2">
      <c r="A12" s="14" t="s">
        <v>199</v>
      </c>
      <c r="B12" s="79" t="e">
        <f>IF(C11='2-los'!F$5,B11+'1-los'!I$14,B11)</f>
        <v>#REF!</v>
      </c>
      <c r="C12" s="78" t="e">
        <f>IF(C11='2-los'!F$5,1,C11+1)</f>
        <v>#REF!</v>
      </c>
      <c r="D12" s="23" t="str">
        <f>'2-los'!C12</f>
        <v>vítěz skupiny 1J</v>
      </c>
      <c r="E12" s="23" t="str">
        <f>'2-los'!E12</f>
        <v>VINCENEC Oliver (KST Vyškov)</v>
      </c>
      <c r="F12" s="25"/>
      <c r="G12" s="25"/>
      <c r="H12" s="25"/>
      <c r="I12" s="16" t="str">
        <f t="shared" si="0"/>
        <v/>
      </c>
      <c r="J12" s="16" t="str">
        <f t="shared" si="1"/>
        <v/>
      </c>
      <c r="K12" s="2" t="str">
        <f>IF(I12="","vítěz utkání 2st-10",IF(I12=2,D12,E12))</f>
        <v>vítěz utkání 2st-10</v>
      </c>
      <c r="L12" s="2" t="str">
        <f t="shared" si="2"/>
        <v/>
      </c>
      <c r="M12" s="2" t="str">
        <f t="shared" si="3"/>
        <v/>
      </c>
      <c r="N12" s="2">
        <f t="shared" si="4"/>
        <v>0</v>
      </c>
      <c r="O12" s="2">
        <f t="shared" si="5"/>
        <v>0</v>
      </c>
      <c r="P12" s="2" t="str">
        <f t="shared" si="6"/>
        <v/>
      </c>
      <c r="Q12" s="2" t="e">
        <f t="shared" si="7"/>
        <v>#REF!</v>
      </c>
      <c r="R12" s="2" t="str">
        <f t="shared" si="8"/>
        <v>:(0 0 )</v>
      </c>
    </row>
    <row r="13" spans="1:18" ht="18" customHeight="1" x14ac:dyDescent="0.2">
      <c r="A13" s="14" t="s">
        <v>200</v>
      </c>
      <c r="B13" s="79" t="e">
        <f>IF(C12='2-los'!F$5,B12+'1-los'!I$14,B12)</f>
        <v>#REF!</v>
      </c>
      <c r="C13" s="78" t="e">
        <f>IF(C12='2-los'!F$5,1,C12+1)</f>
        <v>#REF!</v>
      </c>
      <c r="D13" s="23" t="str">
        <f>'2-los'!C13</f>
        <v>vítěz skupiny 1K</v>
      </c>
      <c r="E13" s="23" t="str">
        <f>'2-los'!E13</f>
        <v>druhý ze skupiny 1O</v>
      </c>
      <c r="F13" s="25"/>
      <c r="G13" s="25"/>
      <c r="H13" s="25"/>
      <c r="I13" s="16" t="str">
        <f t="shared" si="0"/>
        <v/>
      </c>
      <c r="J13" s="16" t="str">
        <f t="shared" si="1"/>
        <v/>
      </c>
      <c r="K13" s="2" t="str">
        <f>IF(I13="","vítěz utkání 2st-11",IF(I13=2,D13,E13))</f>
        <v>vítěz utkání 2st-11</v>
      </c>
      <c r="L13" s="2" t="str">
        <f t="shared" si="2"/>
        <v/>
      </c>
      <c r="M13" s="2" t="str">
        <f t="shared" si="3"/>
        <v/>
      </c>
      <c r="N13" s="2">
        <f t="shared" si="4"/>
        <v>0</v>
      </c>
      <c r="O13" s="2">
        <f t="shared" si="5"/>
        <v>0</v>
      </c>
      <c r="P13" s="2" t="str">
        <f t="shared" si="6"/>
        <v/>
      </c>
      <c r="Q13" s="2" t="e">
        <f t="shared" si="7"/>
        <v>#REF!</v>
      </c>
      <c r="R13" s="2" t="str">
        <f t="shared" si="8"/>
        <v>:(0 0 )</v>
      </c>
    </row>
    <row r="14" spans="1:18" ht="18" customHeight="1" x14ac:dyDescent="0.2">
      <c r="A14" s="14" t="s">
        <v>201</v>
      </c>
      <c r="B14" s="79" t="e">
        <f>IF(C13='2-los'!F$5,B13+'1-los'!I$14,B13)</f>
        <v>#REF!</v>
      </c>
      <c r="C14" s="78" t="e">
        <f>IF(C13='2-los'!F$5,1,C13+1)</f>
        <v>#REF!</v>
      </c>
      <c r="D14" s="23" t="str">
        <f>'2-los'!C14</f>
        <v>vítěz skupiny 1L</v>
      </c>
      <c r="E14" s="23" t="str">
        <f>'2-los'!E14</f>
        <v>druhý ze skupiny 1N</v>
      </c>
      <c r="F14" s="25"/>
      <c r="G14" s="25"/>
      <c r="H14" s="25"/>
      <c r="I14" s="16" t="str">
        <f t="shared" si="0"/>
        <v/>
      </c>
      <c r="J14" s="16" t="str">
        <f t="shared" si="1"/>
        <v/>
      </c>
      <c r="K14" s="2" t="str">
        <f>IF(I14="","vítěz utkání 2st-12",IF(I14=2,D14,E14))</f>
        <v>vítěz utkání 2st-12</v>
      </c>
      <c r="L14" s="2" t="str">
        <f t="shared" si="2"/>
        <v/>
      </c>
      <c r="M14" s="2" t="str">
        <f t="shared" si="3"/>
        <v/>
      </c>
      <c r="N14" s="2">
        <f t="shared" si="4"/>
        <v>0</v>
      </c>
      <c r="O14" s="2">
        <f t="shared" si="5"/>
        <v>0</v>
      </c>
      <c r="P14" s="2" t="str">
        <f t="shared" si="6"/>
        <v/>
      </c>
      <c r="Q14" s="2" t="e">
        <f t="shared" si="7"/>
        <v>#REF!</v>
      </c>
      <c r="R14" s="2" t="str">
        <f t="shared" si="8"/>
        <v>:(0 0 )</v>
      </c>
    </row>
    <row r="15" spans="1:18" ht="18" customHeight="1" x14ac:dyDescent="0.2">
      <c r="A15" s="14" t="s">
        <v>202</v>
      </c>
      <c r="B15" s="79" t="e">
        <f>IF(C14='2-los'!F$5,B14+'1-los'!I$14,B14)</f>
        <v>#REF!</v>
      </c>
      <c r="C15" s="78" t="e">
        <f>IF(C14='2-los'!F$5,1,C14+1)</f>
        <v>#REF!</v>
      </c>
      <c r="D15" s="23" t="str">
        <f>'2-los'!C15</f>
        <v>vítěz skupiny 1M</v>
      </c>
      <c r="E15" s="23" t="str">
        <f>'2-los'!E15</f>
        <v>druhý ze skupiny 1M</v>
      </c>
      <c r="F15" s="25"/>
      <c r="G15" s="25"/>
      <c r="H15" s="25"/>
      <c r="I15" s="16" t="str">
        <f t="shared" si="0"/>
        <v/>
      </c>
      <c r="J15" s="16" t="str">
        <f t="shared" si="1"/>
        <v/>
      </c>
      <c r="K15" s="2" t="str">
        <f>IF(I15="","vítěz utkání 2st-13",IF(I15=2,D15,E15))</f>
        <v>vítěz utkání 2st-13</v>
      </c>
      <c r="L15" s="2" t="str">
        <f t="shared" si="2"/>
        <v/>
      </c>
      <c r="M15" s="2" t="str">
        <f t="shared" si="3"/>
        <v/>
      </c>
      <c r="N15" s="2">
        <f t="shared" si="4"/>
        <v>0</v>
      </c>
      <c r="O15" s="2">
        <f t="shared" si="5"/>
        <v>0</v>
      </c>
      <c r="P15" s="2" t="str">
        <f t="shared" si="6"/>
        <v/>
      </c>
      <c r="Q15" s="2" t="e">
        <f t="shared" si="7"/>
        <v>#REF!</v>
      </c>
      <c r="R15" s="2" t="str">
        <f t="shared" si="8"/>
        <v>:(0 0 )</v>
      </c>
    </row>
    <row r="16" spans="1:18" ht="18" customHeight="1" x14ac:dyDescent="0.2">
      <c r="A16" s="14" t="s">
        <v>203</v>
      </c>
      <c r="B16" s="79" t="e">
        <f>IF(C15='2-los'!F$5,B15+'1-los'!I$14,B15)</f>
        <v>#REF!</v>
      </c>
      <c r="C16" s="78" t="e">
        <f>IF(C15='2-los'!F$5,1,C15+1)</f>
        <v>#REF!</v>
      </c>
      <c r="D16" s="23" t="str">
        <f>'2-los'!C16</f>
        <v>vítěz skupiny 1N</v>
      </c>
      <c r="E16" s="23" t="str">
        <f>'2-los'!E16</f>
        <v>druhý ze skupiny 1L</v>
      </c>
      <c r="F16" s="25"/>
      <c r="G16" s="25"/>
      <c r="H16" s="25"/>
      <c r="I16" s="16" t="str">
        <f t="shared" si="0"/>
        <v/>
      </c>
      <c r="J16" s="16" t="str">
        <f t="shared" si="1"/>
        <v/>
      </c>
      <c r="K16" s="2" t="str">
        <f>IF(I16="","vítěz utkání 2st-14",IF(I16=2,D16,E16))</f>
        <v>vítěz utkání 2st-14</v>
      </c>
      <c r="L16" s="2" t="str">
        <f t="shared" si="2"/>
        <v/>
      </c>
      <c r="M16" s="2" t="str">
        <f t="shared" si="3"/>
        <v/>
      </c>
      <c r="N16" s="2">
        <f t="shared" si="4"/>
        <v>0</v>
      </c>
      <c r="O16" s="2">
        <f t="shared" si="5"/>
        <v>0</v>
      </c>
      <c r="P16" s="2" t="str">
        <f t="shared" si="6"/>
        <v/>
      </c>
      <c r="Q16" s="2" t="e">
        <f t="shared" si="7"/>
        <v>#REF!</v>
      </c>
      <c r="R16" s="2" t="str">
        <f t="shared" si="8"/>
        <v>:(0 0 )</v>
      </c>
    </row>
    <row r="17" spans="1:18" ht="18" customHeight="1" x14ac:dyDescent="0.2">
      <c r="A17" s="14" t="s">
        <v>204</v>
      </c>
      <c r="B17" s="79" t="e">
        <f>IF(C16='2-los'!F$5,B16+'1-los'!I$14,B16)</f>
        <v>#REF!</v>
      </c>
      <c r="C17" s="78" t="e">
        <f>IF(C16='2-los'!F$5,1,C16+1)</f>
        <v>#REF!</v>
      </c>
      <c r="D17" s="23" t="str">
        <f>'2-los'!C17</f>
        <v>vítěz skupiny 1O</v>
      </c>
      <c r="E17" s="23" t="str">
        <f>'2-los'!E17</f>
        <v>druhý ze skupiny 1K</v>
      </c>
      <c r="F17" s="25"/>
      <c r="G17" s="25"/>
      <c r="H17" s="25"/>
      <c r="I17" s="16" t="str">
        <f t="shared" si="0"/>
        <v/>
      </c>
      <c r="J17" s="16" t="str">
        <f t="shared" si="1"/>
        <v/>
      </c>
      <c r="K17" s="2" t="str">
        <f>IF(I17="","vítěz utkání 2st-15",IF(I17=2,D17,E17))</f>
        <v>vítěz utkání 2st-15</v>
      </c>
      <c r="L17" s="2" t="str">
        <f t="shared" si="2"/>
        <v/>
      </c>
      <c r="M17" s="2" t="str">
        <f t="shared" si="3"/>
        <v/>
      </c>
      <c r="N17" s="2">
        <f t="shared" si="4"/>
        <v>0</v>
      </c>
      <c r="O17" s="2">
        <f t="shared" si="5"/>
        <v>0</v>
      </c>
      <c r="P17" s="2" t="str">
        <f t="shared" si="6"/>
        <v/>
      </c>
      <c r="Q17" s="2" t="e">
        <f t="shared" si="7"/>
        <v>#REF!</v>
      </c>
      <c r="R17" s="2" t="str">
        <f t="shared" si="8"/>
        <v>:(0 0 )</v>
      </c>
    </row>
    <row r="18" spans="1:18" ht="18" customHeight="1" x14ac:dyDescent="0.2">
      <c r="A18" s="14" t="s">
        <v>205</v>
      </c>
      <c r="B18" s="79" t="e">
        <f>IF(C17='2-los'!F$5,B17+'1-los'!I$14,B17)</f>
        <v>#REF!</v>
      </c>
      <c r="C18" s="78" t="e">
        <f>IF(C17='2-los'!F$5,1,C17+1)</f>
        <v>#REF!</v>
      </c>
      <c r="D18" s="23" t="str">
        <f>'2-los'!C18</f>
        <v>vítěz skupiny 1P</v>
      </c>
      <c r="E18" s="23" t="str">
        <f>'2-los'!E18</f>
        <v>druhý ze skupiny 1J</v>
      </c>
      <c r="F18" s="25"/>
      <c r="G18" s="25"/>
      <c r="H18" s="25"/>
      <c r="I18" s="16" t="str">
        <f t="shared" si="0"/>
        <v/>
      </c>
      <c r="J18" s="16" t="str">
        <f t="shared" si="1"/>
        <v/>
      </c>
      <c r="K18" s="2" t="str">
        <f>IF(I18="","vítěz utkání 2st-16",IF(I18=2,D18,E18))</f>
        <v>vítěz utkání 2st-16</v>
      </c>
      <c r="L18" s="2" t="str">
        <f t="shared" si="2"/>
        <v/>
      </c>
      <c r="M18" s="2" t="str">
        <f t="shared" si="3"/>
        <v/>
      </c>
      <c r="N18" s="2">
        <f t="shared" si="4"/>
        <v>0</v>
      </c>
      <c r="O18" s="2">
        <f t="shared" si="5"/>
        <v>0</v>
      </c>
      <c r="P18" s="2" t="str">
        <f t="shared" si="6"/>
        <v/>
      </c>
      <c r="Q18" s="2" t="e">
        <f t="shared" si="7"/>
        <v>#REF!</v>
      </c>
      <c r="R18" s="2" t="str">
        <f t="shared" si="8"/>
        <v>:(0 0 )</v>
      </c>
    </row>
  </sheetData>
  <printOptions horizontalCentered="1" verticalCentered="1"/>
  <pageMargins left="0.39370078740157483" right="0.39370078740157483" top="0.39370078740157483" bottom="0.39370078740157483" header="0.51181102362204722" footer="0.51181102362204722"/>
  <pageSetup paperSize="9" scale="140" orientation="landscape" horizontalDpi="4294967292"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T160"/>
  <sheetViews>
    <sheetView showGridLines="0" view="pageBreakPreview" topLeftCell="A10" zoomScaleNormal="100" zoomScaleSheetLayoutView="100" workbookViewId="0">
      <selection activeCell="G22" sqref="G22"/>
    </sheetView>
  </sheetViews>
  <sheetFormatPr defaultColWidth="8.85546875" defaultRowHeight="11.25" x14ac:dyDescent="0.2"/>
  <cols>
    <col min="1" max="1" width="9.7109375" style="49" customWidth="1"/>
    <col min="2" max="2" width="28.7109375" style="32" customWidth="1"/>
    <col min="3" max="3" width="28.7109375" style="39" customWidth="1"/>
    <col min="4" max="7" width="3.28515625" style="39" customWidth="1"/>
    <col min="8" max="8" width="3.42578125" style="39" customWidth="1"/>
    <col min="9" max="10" width="2.5703125" style="32" customWidth="1"/>
    <col min="11" max="11" width="24.5703125" style="170" bestFit="1" customWidth="1"/>
    <col min="12" max="12" width="2.140625" style="170" customWidth="1"/>
    <col min="13" max="13" width="1.85546875" style="170" customWidth="1"/>
    <col min="14" max="14" width="5.28515625" style="170" bestFit="1" customWidth="1"/>
    <col min="15" max="15" width="2" style="170" customWidth="1"/>
    <col min="16" max="16" width="3.42578125" style="32" customWidth="1"/>
    <col min="17" max="18" width="2.5703125" style="32" customWidth="1"/>
    <col min="19" max="20" width="2.42578125" style="112" customWidth="1"/>
    <col min="21" max="16384" width="8.85546875" style="32"/>
  </cols>
  <sheetData>
    <row r="1" spans="1:20" x14ac:dyDescent="0.2">
      <c r="A1" s="50" t="str">
        <f>'1-los'!D2</f>
        <v>skupina A1</v>
      </c>
      <c r="B1" s="167"/>
      <c r="C1" s="31"/>
      <c r="D1" s="31"/>
      <c r="E1" s="31"/>
      <c r="F1" s="31"/>
      <c r="G1" s="31"/>
      <c r="H1" s="31"/>
      <c r="I1" s="31"/>
      <c r="J1" s="31"/>
      <c r="K1" s="171" t="str">
        <f>A1</f>
        <v>skupina A1</v>
      </c>
      <c r="L1" s="168"/>
      <c r="M1" s="168"/>
      <c r="N1" s="168"/>
      <c r="O1" s="168"/>
    </row>
    <row r="2" spans="1:20" x14ac:dyDescent="0.2">
      <c r="A2" s="34" t="s">
        <v>159</v>
      </c>
      <c r="B2" s="33" t="s">
        <v>61</v>
      </c>
      <c r="C2" s="35" t="s">
        <v>62</v>
      </c>
      <c r="D2" s="35"/>
      <c r="E2" s="35"/>
      <c r="F2" s="35"/>
      <c r="G2" s="35"/>
      <c r="H2" s="35"/>
      <c r="I2" s="33"/>
      <c r="J2" s="33"/>
      <c r="K2" s="36" t="s">
        <v>63</v>
      </c>
      <c r="L2" s="169" t="s">
        <v>64</v>
      </c>
      <c r="M2" s="169" t="s">
        <v>65</v>
      </c>
      <c r="N2" s="169" t="s">
        <v>66</v>
      </c>
      <c r="O2" s="169" t="s">
        <v>57</v>
      </c>
    </row>
    <row r="3" spans="1:20" x14ac:dyDescent="0.2">
      <c r="A3" s="38" t="s">
        <v>518</v>
      </c>
      <c r="B3" s="32" t="str">
        <f>'1-los'!E3</f>
        <v>GRABOVSKÝ Jaroslav (SKST Hodonín)</v>
      </c>
      <c r="C3" s="39" t="str">
        <f>'1-los'!E6</f>
        <v/>
      </c>
      <c r="D3" s="172"/>
      <c r="E3" s="172"/>
      <c r="F3" s="172"/>
      <c r="G3" s="172"/>
      <c r="H3" s="173"/>
      <c r="I3" s="47" t="str">
        <f>Q3</f>
        <v/>
      </c>
      <c r="J3" s="47" t="str">
        <f>R3</f>
        <v/>
      </c>
      <c r="K3" s="32" t="str">
        <f>calc1!BX4</f>
        <v>GRABOVSKÝ Jaroslav (SKST Hodonín)</v>
      </c>
      <c r="L3" s="170">
        <f>calc1!BZ4</f>
        <v>2</v>
      </c>
      <c r="M3" s="170">
        <f>calc1!CB4</f>
        <v>0</v>
      </c>
      <c r="N3" s="170" t="str">
        <f>calc1!CF4</f>
        <v>6:0</v>
      </c>
      <c r="O3" s="170">
        <f>calc1!CE4</f>
        <v>4</v>
      </c>
      <c r="Q3" s="32" t="str">
        <f>IF(C3="bye",3,S3)</f>
        <v/>
      </c>
      <c r="R3" s="32" t="str">
        <f>IF(C3="bye",0,T3)</f>
        <v/>
      </c>
      <c r="S3" s="112" t="str">
        <f>IF(D3="","",((IF(D3&gt;0,1,0)+IF(E3&gt;0,1,0)+IF(F3&gt;0,1,0)+IF(G3&gt;0,1,0)+IF(H3&gt;0,1,0))))</f>
        <v/>
      </c>
      <c r="T3" s="112" t="str">
        <f>IF(D3="","",IF(D3&gt;0,0,1)+IF(E3="",0,IF(E3&gt;0,0,1))+IF(F3="",0,IF(F3&gt;0,0,1))+IF(G3="",0,IF(G3&gt;0,0,1))+IF(H3="",0,IF(H3&gt;0,0,1)))</f>
        <v/>
      </c>
    </row>
    <row r="4" spans="1:20" x14ac:dyDescent="0.2">
      <c r="A4" s="38" t="s">
        <v>519</v>
      </c>
      <c r="B4" s="32" t="str">
        <f>'1-los'!E4</f>
        <v>ŠTĚPÁNEK Ondřej (KST Blansko)</v>
      </c>
      <c r="C4" s="39" t="str">
        <f>'1-los'!E5</f>
        <v>KURDIOVSKÝ Matěj (TTC Koral Tišnov)</v>
      </c>
      <c r="D4" s="172">
        <v>6</v>
      </c>
      <c r="E4" s="172">
        <v>-12</v>
      </c>
      <c r="F4" s="172">
        <v>10</v>
      </c>
      <c r="G4" s="172">
        <v>5</v>
      </c>
      <c r="H4" s="173"/>
      <c r="I4" s="47">
        <f>IF(D4="","",((IF(D4&gt;0,1,0)+IF(E4&gt;0,1,0)+IF(F4&gt;0,1,0)+IF(G4&gt;0,1,0)+IF(H4&gt;0,1,0))))</f>
        <v>3</v>
      </c>
      <c r="J4" s="47">
        <f>IF(D4="","",IF(D4&gt;0,0,1)+IF(E4="",0,IF(E4&gt;0,0,1))+IF(F4="",0,IF(F4&gt;0,0,1))+IF(G4="",0,IF(G4&gt;0,0,1))+IF(H4="",0,IF(H4&gt;0,0,1)))</f>
        <v>1</v>
      </c>
      <c r="K4" s="32" t="str">
        <f>calc1!BX5</f>
        <v>ŠTĚPÁNEK Ondřej (KST Blansko)</v>
      </c>
      <c r="L4" s="170">
        <f>calc1!BZ5</f>
        <v>1</v>
      </c>
      <c r="M4" s="170">
        <f>calc1!CB5</f>
        <v>1</v>
      </c>
      <c r="N4" s="170" t="str">
        <f>calc1!CF5</f>
        <v>3:4</v>
      </c>
      <c r="O4" s="170">
        <f>calc1!CE5</f>
        <v>2</v>
      </c>
    </row>
    <row r="5" spans="1:20" x14ac:dyDescent="0.2">
      <c r="A5" s="38" t="s">
        <v>520</v>
      </c>
      <c r="B5" s="32" t="str">
        <f>C3</f>
        <v/>
      </c>
      <c r="C5" s="39" t="str">
        <f>B4</f>
        <v>ŠTĚPÁNEK Ondřej (KST Blansko)</v>
      </c>
      <c r="D5" s="172"/>
      <c r="E5" s="172"/>
      <c r="F5" s="172"/>
      <c r="G5" s="172"/>
      <c r="H5" s="173"/>
      <c r="I5" s="47" t="str">
        <f>Q5</f>
        <v/>
      </c>
      <c r="J5" s="47" t="str">
        <f>R5</f>
        <v/>
      </c>
      <c r="K5" s="32" t="str">
        <f>calc1!BX6</f>
        <v/>
      </c>
      <c r="L5" s="170">
        <f>calc1!BZ6</f>
        <v>0</v>
      </c>
      <c r="M5" s="170">
        <f>calc1!CB6</f>
        <v>0</v>
      </c>
      <c r="N5" s="170" t="str">
        <f>calc1!CF6</f>
        <v>0:0</v>
      </c>
      <c r="O5" s="170">
        <f>calc1!CE6</f>
        <v>0</v>
      </c>
      <c r="Q5" s="32" t="str">
        <f>IF(B5="bye",0,S5)</f>
        <v/>
      </c>
      <c r="R5" s="32" t="str">
        <f>IF(B5="bye",3,T5)</f>
        <v/>
      </c>
      <c r="S5" s="112" t="str">
        <f>IF(D5="","",((IF(D5&gt;0,1,0)+IF(E5&gt;0,1,0)+IF(F5&gt;0,1,0)+IF(G5&gt;0,1,0)+IF(H5&gt;0,1,0))))</f>
        <v/>
      </c>
      <c r="T5" s="112" t="str">
        <f>IF(D5="","",IF(D5&gt;0,0,1)+IF(E5="",0,IF(E5&gt;0,0,1))+IF(F5="",0,IF(F5&gt;0,0,1))+IF(G5="",0,IF(G5&gt;0,0,1))+IF(H5="",0,IF(H5&gt;0,0,1)))</f>
        <v/>
      </c>
    </row>
    <row r="6" spans="1:20" x14ac:dyDescent="0.2">
      <c r="A6" s="38" t="s">
        <v>521</v>
      </c>
      <c r="B6" s="32" t="str">
        <f>C4</f>
        <v>KURDIOVSKÝ Matěj (TTC Koral Tišnov)</v>
      </c>
      <c r="C6" s="39" t="str">
        <f>B3</f>
        <v>GRABOVSKÝ Jaroslav (SKST Hodonín)</v>
      </c>
      <c r="D6" s="172">
        <v>-1</v>
      </c>
      <c r="E6" s="172">
        <v>-7</v>
      </c>
      <c r="F6" s="172">
        <v>-4</v>
      </c>
      <c r="G6" s="172"/>
      <c r="H6" s="173"/>
      <c r="I6" s="47">
        <f>IF(D6="","",((IF(D6&gt;0,1,0)+IF(E6&gt;0,1,0)+IF(F6&gt;0,1,0)+IF(G6&gt;0,1,0)+IF(H6&gt;0,1,0))))</f>
        <v>0</v>
      </c>
      <c r="J6" s="47">
        <f>IF(D6="","",IF(D6&gt;0,0,1)+IF(E6="",0,IF(E6&gt;0,0,1))+IF(F6="",0,IF(F6&gt;0,0,1))+IF(G6="",0,IF(G6&gt;0,0,1))+IF(H6="",0,IF(H6&gt;0,0,1)))</f>
        <v>3</v>
      </c>
      <c r="K6" s="32" t="str">
        <f>calc1!BX7</f>
        <v>KURDIOVSKÝ Matěj (TTC Koral Tišnov)</v>
      </c>
      <c r="L6" s="170">
        <f>calc1!BZ7</f>
        <v>0</v>
      </c>
      <c r="M6" s="170">
        <f>calc1!CB7</f>
        <v>2</v>
      </c>
      <c r="N6" s="170" t="str">
        <f>calc1!CF7</f>
        <v>1:6</v>
      </c>
      <c r="O6" s="170">
        <f>calc1!CE7</f>
        <v>0</v>
      </c>
    </row>
    <row r="7" spans="1:20" x14ac:dyDescent="0.2">
      <c r="A7" s="38" t="s">
        <v>522</v>
      </c>
      <c r="B7" s="32" t="str">
        <f>C4</f>
        <v>KURDIOVSKÝ Matěj (TTC Koral Tišnov)</v>
      </c>
      <c r="C7" s="39" t="str">
        <f>C3</f>
        <v/>
      </c>
      <c r="D7" s="172"/>
      <c r="E7" s="172"/>
      <c r="F7" s="172"/>
      <c r="G7" s="172"/>
      <c r="H7" s="173"/>
      <c r="I7" s="47" t="str">
        <f>Q7</f>
        <v/>
      </c>
      <c r="J7" s="47" t="str">
        <f>R7</f>
        <v/>
      </c>
      <c r="K7" s="390"/>
      <c r="L7" s="391"/>
      <c r="M7" s="391"/>
      <c r="N7" s="391"/>
      <c r="O7" s="391"/>
      <c r="Q7" s="32" t="str">
        <f>IF(C7="bye",3,S7)</f>
        <v/>
      </c>
      <c r="R7" s="32" t="str">
        <f>IF(C7="bye",0,T7)</f>
        <v/>
      </c>
      <c r="S7" s="112" t="str">
        <f>IF(D7="","",((IF(D7&gt;0,1,0)+IF(E7&gt;0,1,0)+IF(F7&gt;0,1,0)+IF(G7&gt;0,1,0)+IF(H7&gt;0,1,0))))</f>
        <v/>
      </c>
      <c r="T7" s="112" t="str">
        <f>IF(D7="","",IF(D7&gt;0,0,1)+IF(E7="",0,IF(E7&gt;0,0,1))+IF(F7="",0,IF(F7&gt;0,0,1))+IF(G7="",0,IF(G7&gt;0,0,1))+IF(H7="",0,IF(H7&gt;0,0,1)))</f>
        <v/>
      </c>
    </row>
    <row r="8" spans="1:20" x14ac:dyDescent="0.2">
      <c r="A8" s="38" t="s">
        <v>523</v>
      </c>
      <c r="B8" s="32" t="str">
        <f>B3</f>
        <v>GRABOVSKÝ Jaroslav (SKST Hodonín)</v>
      </c>
      <c r="C8" s="39" t="str">
        <f>B4</f>
        <v>ŠTĚPÁNEK Ondřej (KST Blansko)</v>
      </c>
      <c r="D8" s="172">
        <v>4</v>
      </c>
      <c r="E8" s="172">
        <v>3</v>
      </c>
      <c r="F8" s="172">
        <v>5</v>
      </c>
      <c r="G8" s="172"/>
      <c r="H8" s="173"/>
      <c r="I8" s="47">
        <f>IF(D8="","",((IF(D8&gt;0,1,0)+IF(E8&gt;0,1,0)+IF(F8&gt;0,1,0)+IF(G8&gt;0,1,0)+IF(H8&gt;0,1,0))))</f>
        <v>3</v>
      </c>
      <c r="J8" s="47">
        <f>IF(D8="","",IF(D8&gt;0,0,1)+IF(E8="",0,IF(E8&gt;0,0,1))+IF(F8="",0,IF(F8&gt;0,0,1))+IF(G8="",0,IF(G8&gt;0,0,1))+IF(H8="",0,IF(H8&gt;0,0,1)))</f>
        <v>0</v>
      </c>
      <c r="K8" s="390"/>
      <c r="L8" s="391"/>
      <c r="M8" s="391"/>
      <c r="N8" s="391"/>
      <c r="O8" s="391"/>
    </row>
    <row r="9" spans="1:20" x14ac:dyDescent="0.2">
      <c r="A9" s="50" t="str">
        <f>'1-los'!F2</f>
        <v>skupina A2</v>
      </c>
      <c r="B9" s="167"/>
      <c r="C9" s="31"/>
      <c r="D9" s="31"/>
      <c r="E9" s="31"/>
      <c r="F9" s="31"/>
      <c r="G9" s="31"/>
      <c r="H9" s="31"/>
      <c r="I9" s="31"/>
      <c r="J9" s="31"/>
      <c r="K9" s="171" t="str">
        <f>A9</f>
        <v>skupina A2</v>
      </c>
      <c r="L9" s="168"/>
      <c r="M9" s="168"/>
      <c r="N9" s="168"/>
      <c r="O9" s="168"/>
    </row>
    <row r="10" spans="1:20" x14ac:dyDescent="0.2">
      <c r="A10" s="34" t="s">
        <v>159</v>
      </c>
      <c r="B10" s="33" t="s">
        <v>61</v>
      </c>
      <c r="C10" s="35" t="s">
        <v>62</v>
      </c>
      <c r="D10" s="35"/>
      <c r="E10" s="35"/>
      <c r="F10" s="35"/>
      <c r="G10" s="35"/>
      <c r="H10" s="35"/>
      <c r="I10" s="33"/>
      <c r="J10" s="33"/>
      <c r="K10" s="36" t="s">
        <v>63</v>
      </c>
      <c r="L10" s="169" t="s">
        <v>64</v>
      </c>
      <c r="M10" s="169" t="s">
        <v>65</v>
      </c>
      <c r="N10" s="169" t="s">
        <v>66</v>
      </c>
      <c r="O10" s="169" t="s">
        <v>57</v>
      </c>
    </row>
    <row r="11" spans="1:20" x14ac:dyDescent="0.2">
      <c r="A11" s="38" t="s">
        <v>524</v>
      </c>
      <c r="B11" s="32" t="str">
        <f>'1-los'!G3</f>
        <v>NOVOHRADSKÁ Karolína (KST Blansko)</v>
      </c>
      <c r="C11" s="39" t="str">
        <f>'1-los'!G6</f>
        <v>GRÜNWALD Michal (KST Vyškov)</v>
      </c>
      <c r="D11" s="172">
        <v>7</v>
      </c>
      <c r="E11" s="172">
        <v>-9</v>
      </c>
      <c r="F11" s="172">
        <v>5</v>
      </c>
      <c r="G11" s="172">
        <v>3</v>
      </c>
      <c r="H11" s="173"/>
      <c r="I11" s="47">
        <f>Q11</f>
        <v>3</v>
      </c>
      <c r="J11" s="47">
        <f>R11</f>
        <v>1</v>
      </c>
      <c r="K11" s="32" t="str">
        <f>calc1!BX14</f>
        <v>HOLUBOVÁ Simona (SKST Hodonín)</v>
      </c>
      <c r="L11" s="170">
        <f>calc1!BZ14</f>
        <v>2</v>
      </c>
      <c r="M11" s="170">
        <f>calc1!CB14</f>
        <v>1</v>
      </c>
      <c r="N11" s="170" t="str">
        <f>calc1!CF14</f>
        <v>8:3</v>
      </c>
      <c r="O11" s="170">
        <f>calc1!CE14</f>
        <v>4</v>
      </c>
      <c r="Q11" s="32">
        <f>IF(C11="bye",3,S11)</f>
        <v>3</v>
      </c>
      <c r="R11" s="32">
        <f>IF(C11="bye",0,T11)</f>
        <v>1</v>
      </c>
      <c r="S11" s="112">
        <f>IF(D11="","",((IF(D11&gt;0,1,0)+IF(E11&gt;0,1,0)+IF(F11&gt;0,1,0)+IF(G11&gt;0,1,0)+IF(H11&gt;0,1,0))))</f>
        <v>3</v>
      </c>
      <c r="T11" s="112">
        <f>IF(D11="","",IF(D11&gt;0,0,1)+IF(E11="",0,IF(E11&gt;0,0,1))+IF(F11="",0,IF(F11&gt;0,0,1))+IF(G11="",0,IF(G11&gt;0,0,1))+IF(H11="",0,IF(H11&gt;0,0,1)))</f>
        <v>1</v>
      </c>
    </row>
    <row r="12" spans="1:20" x14ac:dyDescent="0.2">
      <c r="A12" s="38" t="s">
        <v>525</v>
      </c>
      <c r="B12" s="32" t="str">
        <f>'1-los'!G4</f>
        <v>HOLUBOVÁ Simona (SKST Hodonín)</v>
      </c>
      <c r="C12" s="39" t="str">
        <f>'1-los'!G5</f>
        <v>HORNÍČEK Lukáš (TTC MS Brno)</v>
      </c>
      <c r="D12" s="172">
        <v>1</v>
      </c>
      <c r="E12" s="172">
        <v>6</v>
      </c>
      <c r="F12" s="172">
        <v>6</v>
      </c>
      <c r="G12" s="172"/>
      <c r="H12" s="173"/>
      <c r="I12" s="47">
        <f>IF(D12="","",((IF(D12&gt;0,1,0)+IF(E12&gt;0,1,0)+IF(F12&gt;0,1,0)+IF(G12&gt;0,1,0)+IF(H12&gt;0,1,0))))</f>
        <v>3</v>
      </c>
      <c r="J12" s="47">
        <f>IF(D12="","",IF(D12&gt;0,0,1)+IF(E12="",0,IF(E12&gt;0,0,1))+IF(F12="",0,IF(F12&gt;0,0,1))+IF(G12="",0,IF(G12&gt;0,0,1))+IF(H12="",0,IF(H12&gt;0,0,1)))</f>
        <v>0</v>
      </c>
      <c r="K12" s="32" t="str">
        <f>calc1!BX15</f>
        <v>HORNÍČEK Lukáš (TTC MS Brno)</v>
      </c>
      <c r="L12" s="170">
        <f>calc1!BZ15</f>
        <v>2</v>
      </c>
      <c r="M12" s="170">
        <f>calc1!CB15</f>
        <v>1</v>
      </c>
      <c r="N12" s="170" t="str">
        <f>calc1!CF15</f>
        <v>6:3</v>
      </c>
      <c r="O12" s="170">
        <f>calc1!CE15</f>
        <v>4</v>
      </c>
    </row>
    <row r="13" spans="1:20" x14ac:dyDescent="0.2">
      <c r="A13" s="38" t="s">
        <v>526</v>
      </c>
      <c r="B13" s="32" t="str">
        <f>C11</f>
        <v>GRÜNWALD Michal (KST Vyškov)</v>
      </c>
      <c r="C13" s="39" t="str">
        <f>B12</f>
        <v>HOLUBOVÁ Simona (SKST Hodonín)</v>
      </c>
      <c r="D13" s="172">
        <v>-9</v>
      </c>
      <c r="E13" s="172">
        <v>-8</v>
      </c>
      <c r="F13" s="172">
        <v>-5</v>
      </c>
      <c r="G13" s="172"/>
      <c r="H13" s="173"/>
      <c r="I13" s="47">
        <f>Q13</f>
        <v>0</v>
      </c>
      <c r="J13" s="47">
        <f>R13</f>
        <v>3</v>
      </c>
      <c r="K13" s="32" t="str">
        <f>calc1!BX16</f>
        <v>NOVOHRADSKÁ Karolína (KST Blansko)</v>
      </c>
      <c r="L13" s="170">
        <f>calc1!BZ16</f>
        <v>2</v>
      </c>
      <c r="M13" s="170">
        <f>calc1!CB16</f>
        <v>1</v>
      </c>
      <c r="N13" s="170" t="str">
        <f>calc1!CF16</f>
        <v>6:6</v>
      </c>
      <c r="O13" s="170">
        <f>calc1!CE16</f>
        <v>4</v>
      </c>
      <c r="Q13" s="32">
        <f>IF(B13="bye",0,S13)</f>
        <v>0</v>
      </c>
      <c r="R13" s="32">
        <f>IF(B13="bye",3,T13)</f>
        <v>3</v>
      </c>
      <c r="S13" s="112">
        <f>IF(D13="","",((IF(D13&gt;0,1,0)+IF(E13&gt;0,1,0)+IF(F13&gt;0,1,0)+IF(G13&gt;0,1,0)+IF(H13&gt;0,1,0))))</f>
        <v>0</v>
      </c>
      <c r="T13" s="112">
        <f>IF(D13="","",IF(D13&gt;0,0,1)+IF(E13="",0,IF(E13&gt;0,0,1))+IF(F13="",0,IF(F13&gt;0,0,1))+IF(G13="",0,IF(G13&gt;0,0,1))+IF(H13="",0,IF(H13&gt;0,0,1)))</f>
        <v>3</v>
      </c>
    </row>
    <row r="14" spans="1:20" x14ac:dyDescent="0.2">
      <c r="A14" s="38" t="s">
        <v>527</v>
      </c>
      <c r="B14" s="32" t="str">
        <f>C12</f>
        <v>HORNÍČEK Lukáš (TTC MS Brno)</v>
      </c>
      <c r="C14" s="39" t="str">
        <f>B11</f>
        <v>NOVOHRADSKÁ Karolína (KST Blansko)</v>
      </c>
      <c r="D14" s="172">
        <v>10</v>
      </c>
      <c r="E14" s="172">
        <v>9</v>
      </c>
      <c r="F14" s="172">
        <v>10</v>
      </c>
      <c r="G14" s="172"/>
      <c r="H14" s="173"/>
      <c r="I14" s="47">
        <f>IF(D14="","",((IF(D14&gt;0,1,0)+IF(E14&gt;0,1,0)+IF(F14&gt;0,1,0)+IF(G14&gt;0,1,0)+IF(H14&gt;0,1,0))))</f>
        <v>3</v>
      </c>
      <c r="J14" s="47">
        <f>IF(D14="","",IF(D14&gt;0,0,1)+IF(E14="",0,IF(E14&gt;0,0,1))+IF(F14="",0,IF(F14&gt;0,0,1))+IF(G14="",0,IF(G14&gt;0,0,1))+IF(H14="",0,IF(H14&gt;0,0,1)))</f>
        <v>0</v>
      </c>
      <c r="K14" s="32" t="str">
        <f>calc1!BX17</f>
        <v>GRÜNWALD Michal (KST Vyškov)</v>
      </c>
      <c r="L14" s="170">
        <f>calc1!BZ17</f>
        <v>0</v>
      </c>
      <c r="M14" s="170">
        <f>calc1!CB17</f>
        <v>3</v>
      </c>
      <c r="N14" s="170" t="str">
        <f>calc1!CF17</f>
        <v>1:9</v>
      </c>
      <c r="O14" s="170">
        <f>calc1!CE17</f>
        <v>0</v>
      </c>
    </row>
    <row r="15" spans="1:20" x14ac:dyDescent="0.2">
      <c r="A15" s="38" t="s">
        <v>528</v>
      </c>
      <c r="B15" s="32" t="str">
        <f>C12</f>
        <v>HORNÍČEK Lukáš (TTC MS Brno)</v>
      </c>
      <c r="C15" s="39" t="str">
        <f>C11</f>
        <v>GRÜNWALD Michal (KST Vyškov)</v>
      </c>
      <c r="D15" s="172">
        <v>4</v>
      </c>
      <c r="E15" s="172">
        <v>6</v>
      </c>
      <c r="F15" s="172">
        <v>8</v>
      </c>
      <c r="G15" s="172"/>
      <c r="H15" s="173"/>
      <c r="I15" s="47">
        <f>Q15</f>
        <v>3</v>
      </c>
      <c r="J15" s="47">
        <f>R15</f>
        <v>0</v>
      </c>
      <c r="K15" s="390"/>
      <c r="L15" s="391"/>
      <c r="M15" s="391"/>
      <c r="N15" s="391"/>
      <c r="O15" s="391"/>
      <c r="Q15" s="32">
        <f>IF(C15="bye",3,S15)</f>
        <v>3</v>
      </c>
      <c r="R15" s="32">
        <f>IF(C15="bye",0,T15)</f>
        <v>0</v>
      </c>
      <c r="S15" s="112">
        <f>IF(D15="","",((IF(D15&gt;0,1,0)+IF(E15&gt;0,1,0)+IF(F15&gt;0,1,0)+IF(G15&gt;0,1,0)+IF(H15&gt;0,1,0))))</f>
        <v>3</v>
      </c>
      <c r="T15" s="112">
        <f>IF(D15="","",IF(D15&gt;0,0,1)+IF(E15="",0,IF(E15&gt;0,0,1))+IF(F15="",0,IF(F15&gt;0,0,1))+IF(G15="",0,IF(G15&gt;0,0,1))+IF(H15="",0,IF(H15&gt;0,0,1)))</f>
        <v>0</v>
      </c>
    </row>
    <row r="16" spans="1:20" x14ac:dyDescent="0.2">
      <c r="A16" s="38" t="s">
        <v>529</v>
      </c>
      <c r="B16" s="32" t="str">
        <f>B11</f>
        <v>NOVOHRADSKÁ Karolína (KST Blansko)</v>
      </c>
      <c r="C16" s="39" t="str">
        <f>B12</f>
        <v>HOLUBOVÁ Simona (SKST Hodonín)</v>
      </c>
      <c r="D16" s="172">
        <v>-10</v>
      </c>
      <c r="E16" s="172">
        <v>7</v>
      </c>
      <c r="F16" s="172">
        <v>-5</v>
      </c>
      <c r="G16" s="172">
        <v>9</v>
      </c>
      <c r="H16" s="173">
        <v>8</v>
      </c>
      <c r="I16" s="47">
        <f>IF(D16="","",((IF(D16&gt;0,1,0)+IF(E16&gt;0,1,0)+IF(F16&gt;0,1,0)+IF(G16&gt;0,1,0)+IF(H16&gt;0,1,0))))</f>
        <v>3</v>
      </c>
      <c r="J16" s="47">
        <f>IF(D16="","",IF(D16&gt;0,0,1)+IF(E16="",0,IF(E16&gt;0,0,1))+IF(F16="",0,IF(F16&gt;0,0,1))+IF(G16="",0,IF(G16&gt;0,0,1))+IF(H16="",0,IF(H16&gt;0,0,1)))</f>
        <v>2</v>
      </c>
      <c r="K16" s="390"/>
      <c r="L16" s="391"/>
      <c r="M16" s="391"/>
      <c r="N16" s="391"/>
      <c r="O16" s="391"/>
    </row>
    <row r="17" spans="1:20" x14ac:dyDescent="0.2">
      <c r="A17" s="50" t="str">
        <f>'1-los'!D7</f>
        <v>skupina A3</v>
      </c>
      <c r="B17" s="167"/>
      <c r="C17" s="31"/>
      <c r="D17" s="31"/>
      <c r="E17" s="31"/>
      <c r="F17" s="31"/>
      <c r="G17" s="31"/>
      <c r="H17" s="31"/>
      <c r="I17" s="31"/>
      <c r="J17" s="31"/>
      <c r="K17" s="171" t="str">
        <f>A17</f>
        <v>skupina A3</v>
      </c>
      <c r="L17" s="168"/>
      <c r="M17" s="168"/>
      <c r="N17" s="168"/>
      <c r="O17" s="168"/>
    </row>
    <row r="18" spans="1:20" x14ac:dyDescent="0.2">
      <c r="A18" s="34" t="s">
        <v>159</v>
      </c>
      <c r="B18" s="33" t="s">
        <v>61</v>
      </c>
      <c r="C18" s="35" t="s">
        <v>62</v>
      </c>
      <c r="D18" s="35"/>
      <c r="E18" s="35"/>
      <c r="F18" s="35"/>
      <c r="G18" s="35"/>
      <c r="H18" s="35"/>
      <c r="I18" s="33"/>
      <c r="J18" s="33"/>
      <c r="K18" s="36" t="s">
        <v>63</v>
      </c>
      <c r="L18" s="169" t="s">
        <v>64</v>
      </c>
      <c r="M18" s="169" t="s">
        <v>65</v>
      </c>
      <c r="N18" s="169" t="s">
        <v>66</v>
      </c>
      <c r="O18" s="169" t="s">
        <v>57</v>
      </c>
    </row>
    <row r="19" spans="1:20" x14ac:dyDescent="0.2">
      <c r="A19" s="38" t="s">
        <v>530</v>
      </c>
      <c r="B19" s="32" t="str">
        <f>'1-los'!E8</f>
        <v>MASOPUSTOVÁ Lucie (MSK Břeclav)</v>
      </c>
      <c r="C19" s="39" t="str">
        <f>'1-los'!E11</f>
        <v>VINCENEC Oliver (KST Vyškov)</v>
      </c>
      <c r="D19" s="172">
        <v>6</v>
      </c>
      <c r="E19" s="172">
        <v>1</v>
      </c>
      <c r="F19" s="172">
        <v>-11</v>
      </c>
      <c r="G19" s="172">
        <v>-11</v>
      </c>
      <c r="H19" s="173">
        <v>8</v>
      </c>
      <c r="I19" s="47">
        <f>Q19</f>
        <v>3</v>
      </c>
      <c r="J19" s="47">
        <f>R19</f>
        <v>2</v>
      </c>
      <c r="K19" s="32" t="str">
        <f>calc1!BX24</f>
        <v>MASOPUSTOVÁ Lucie (MSK Břeclav)</v>
      </c>
      <c r="L19" s="170">
        <f>calc1!BZ24</f>
        <v>3</v>
      </c>
      <c r="M19" s="170">
        <f>calc1!CB24</f>
        <v>0</v>
      </c>
      <c r="N19" s="170" t="str">
        <f>calc1!CF24</f>
        <v>9:3</v>
      </c>
      <c r="O19" s="170">
        <f>calc1!CE24</f>
        <v>6</v>
      </c>
      <c r="Q19" s="32">
        <f>IF(C19="bye",3,S19)</f>
        <v>3</v>
      </c>
      <c r="R19" s="32">
        <f>IF(C19="bye",0,T19)</f>
        <v>2</v>
      </c>
      <c r="S19" s="112">
        <f>IF(D19="","",((IF(D19&gt;0,1,0)+IF(E19&gt;0,1,0)+IF(F19&gt;0,1,0)+IF(G19&gt;0,1,0)+IF(H19&gt;0,1,0))))</f>
        <v>3</v>
      </c>
      <c r="T19" s="112">
        <f>IF(D19="","",IF(D19&gt;0,0,1)+IF(E19="",0,IF(E19&gt;0,0,1))+IF(F19="",0,IF(F19&gt;0,0,1))+IF(G19="",0,IF(G19&gt;0,0,1))+IF(H19="",0,IF(H19&gt;0,0,1)))</f>
        <v>2</v>
      </c>
    </row>
    <row r="20" spans="1:20" x14ac:dyDescent="0.2">
      <c r="A20" s="38" t="s">
        <v>531</v>
      </c>
      <c r="B20" s="32" t="str">
        <f>'1-los'!E9</f>
        <v>KREJČÍ David (TTC MS Brno)</v>
      </c>
      <c r="C20" s="39" t="str">
        <f>'1-los'!E10</f>
        <v>ŠTĚRBÁK Lukáš (SKST Hodonín)</v>
      </c>
      <c r="D20" s="172">
        <v>6</v>
      </c>
      <c r="E20" s="172">
        <v>7</v>
      </c>
      <c r="F20" s="172">
        <v>7</v>
      </c>
      <c r="G20" s="172"/>
      <c r="H20" s="173"/>
      <c r="I20" s="47">
        <f>IF(D20="","",((IF(D20&gt;0,1,0)+IF(E20&gt;0,1,0)+IF(F20&gt;0,1,0)+IF(G20&gt;0,1,0)+IF(H20&gt;0,1,0))))</f>
        <v>3</v>
      </c>
      <c r="J20" s="47">
        <f>IF(D20="","",IF(D20&gt;0,0,1)+IF(E20="",0,IF(E20&gt;0,0,1))+IF(F20="",0,IF(F20&gt;0,0,1))+IF(G20="",0,IF(G20&gt;0,0,1))+IF(H20="",0,IF(H20&gt;0,0,1)))</f>
        <v>0</v>
      </c>
      <c r="K20" s="32" t="str">
        <f>calc1!BX25</f>
        <v>VINCENEC Oliver (KST Vyškov)</v>
      </c>
      <c r="L20" s="170">
        <f>calc1!BZ25</f>
        <v>2</v>
      </c>
      <c r="M20" s="170">
        <f>calc1!CB25</f>
        <v>1</v>
      </c>
      <c r="N20" s="170" t="str">
        <f>calc1!CF25</f>
        <v>8:5</v>
      </c>
      <c r="O20" s="170">
        <f>calc1!CE25</f>
        <v>4</v>
      </c>
    </row>
    <row r="21" spans="1:20" x14ac:dyDescent="0.2">
      <c r="A21" s="38" t="s">
        <v>532</v>
      </c>
      <c r="B21" s="32" t="str">
        <f>C19</f>
        <v>VINCENEC Oliver (KST Vyškov)</v>
      </c>
      <c r="C21" s="39" t="str">
        <f>B20</f>
        <v>KREJČÍ David (TTC MS Brno)</v>
      </c>
      <c r="D21" s="172">
        <v>-7</v>
      </c>
      <c r="E21" s="172">
        <v>5</v>
      </c>
      <c r="F21" s="172">
        <v>7</v>
      </c>
      <c r="G21" s="172">
        <v>-7</v>
      </c>
      <c r="H21" s="173">
        <v>9</v>
      </c>
      <c r="I21" s="47">
        <f>Q21</f>
        <v>3</v>
      </c>
      <c r="J21" s="47">
        <f>R21</f>
        <v>2</v>
      </c>
      <c r="K21" s="32" t="str">
        <f>calc1!BX26</f>
        <v>KREJČÍ David (TTC MS Brno)</v>
      </c>
      <c r="L21" s="170">
        <f>calc1!BZ26</f>
        <v>1</v>
      </c>
      <c r="M21" s="170">
        <f>calc1!CB26</f>
        <v>2</v>
      </c>
      <c r="N21" s="170" t="str">
        <f>calc1!CF26</f>
        <v>6:6</v>
      </c>
      <c r="O21" s="170">
        <f>calc1!CE26</f>
        <v>2</v>
      </c>
      <c r="Q21" s="32">
        <f>IF(B21="bye",0,S21)</f>
        <v>3</v>
      </c>
      <c r="R21" s="32">
        <f>IF(B21="bye",3,T21)</f>
        <v>2</v>
      </c>
      <c r="S21" s="112">
        <f>IF(D21="","",((IF(D21&gt;0,1,0)+IF(E21&gt;0,1,0)+IF(F21&gt;0,1,0)+IF(G21&gt;0,1,0)+IF(H21&gt;0,1,0))))</f>
        <v>3</v>
      </c>
      <c r="T21" s="112">
        <f>IF(D21="","",IF(D21&gt;0,0,1)+IF(E21="",0,IF(E21&gt;0,0,1))+IF(F21="",0,IF(F21&gt;0,0,1))+IF(G21="",0,IF(G21&gt;0,0,1))+IF(H21="",0,IF(H21&gt;0,0,1)))</f>
        <v>2</v>
      </c>
    </row>
    <row r="22" spans="1:20" x14ac:dyDescent="0.2">
      <c r="A22" s="38" t="s">
        <v>533</v>
      </c>
      <c r="B22" s="32" t="str">
        <f>C20</f>
        <v>ŠTĚRBÁK Lukáš (SKST Hodonín)</v>
      </c>
      <c r="C22" s="39" t="str">
        <f>B19</f>
        <v>MASOPUSTOVÁ Lucie (MSK Břeclav)</v>
      </c>
      <c r="D22" s="172">
        <v>-2</v>
      </c>
      <c r="E22" s="172">
        <v>-4</v>
      </c>
      <c r="F22" s="172">
        <v>-5</v>
      </c>
      <c r="G22" s="172"/>
      <c r="H22" s="173"/>
      <c r="I22" s="47">
        <f>IF(D22="","",((IF(D22&gt;0,1,0)+IF(E22&gt;0,1,0)+IF(F22&gt;0,1,0)+IF(G22&gt;0,1,0)+IF(H22&gt;0,1,0))))</f>
        <v>0</v>
      </c>
      <c r="J22" s="47">
        <f>IF(D22="","",IF(D22&gt;0,0,1)+IF(E22="",0,IF(E22&gt;0,0,1))+IF(F22="",0,IF(F22&gt;0,0,1))+IF(G22="",0,IF(G22&gt;0,0,1))+IF(H22="",0,IF(H22&gt;0,0,1)))</f>
        <v>3</v>
      </c>
      <c r="K22" s="32" t="str">
        <f>calc1!BX27</f>
        <v>ŠTĚRBÁK Lukáš (SKST Hodonín)</v>
      </c>
      <c r="L22" s="170">
        <f>calc1!BZ27</f>
        <v>0</v>
      </c>
      <c r="M22" s="170">
        <f>calc1!CB27</f>
        <v>3</v>
      </c>
      <c r="N22" s="170" t="str">
        <f>calc1!CF27</f>
        <v>0:9</v>
      </c>
      <c r="O22" s="170">
        <f>calc1!CE27</f>
        <v>0</v>
      </c>
    </row>
    <row r="23" spans="1:20" x14ac:dyDescent="0.2">
      <c r="A23" s="38" t="s">
        <v>534</v>
      </c>
      <c r="B23" s="32" t="str">
        <f>C20</f>
        <v>ŠTĚRBÁK Lukáš (SKST Hodonín)</v>
      </c>
      <c r="C23" s="39" t="str">
        <f>C19</f>
        <v>VINCENEC Oliver (KST Vyškov)</v>
      </c>
      <c r="D23" s="172">
        <v>-7</v>
      </c>
      <c r="E23" s="172">
        <v>-8</v>
      </c>
      <c r="F23" s="172">
        <v>-8</v>
      </c>
      <c r="G23" s="172"/>
      <c r="H23" s="173"/>
      <c r="I23" s="47">
        <f>Q23</f>
        <v>0</v>
      </c>
      <c r="J23" s="47">
        <f>R23</f>
        <v>3</v>
      </c>
      <c r="K23" s="390"/>
      <c r="L23" s="391"/>
      <c r="M23" s="391"/>
      <c r="N23" s="391"/>
      <c r="O23" s="391"/>
      <c r="Q23" s="32">
        <f>IF(C23="bye",3,S23)</f>
        <v>0</v>
      </c>
      <c r="R23" s="32">
        <f>IF(C23="bye",0,T23)</f>
        <v>3</v>
      </c>
      <c r="S23" s="112">
        <f>IF(D23="","",((IF(D23&gt;0,1,0)+IF(E23&gt;0,1,0)+IF(F23&gt;0,1,0)+IF(G23&gt;0,1,0)+IF(H23&gt;0,1,0))))</f>
        <v>0</v>
      </c>
      <c r="T23" s="112">
        <f>IF(D23="","",IF(D23&gt;0,0,1)+IF(E23="",0,IF(E23&gt;0,0,1))+IF(F23="",0,IF(F23&gt;0,0,1))+IF(G23="",0,IF(G23&gt;0,0,1))+IF(H23="",0,IF(H23&gt;0,0,1)))</f>
        <v>3</v>
      </c>
    </row>
    <row r="24" spans="1:20" x14ac:dyDescent="0.2">
      <c r="A24" s="38" t="s">
        <v>535</v>
      </c>
      <c r="B24" s="32" t="str">
        <f>B19</f>
        <v>MASOPUSTOVÁ Lucie (MSK Břeclav)</v>
      </c>
      <c r="C24" s="39" t="str">
        <f>B20</f>
        <v>KREJČÍ David (TTC MS Brno)</v>
      </c>
      <c r="D24" s="172">
        <v>-3</v>
      </c>
      <c r="E24" s="172">
        <v>8</v>
      </c>
      <c r="F24" s="172">
        <v>6</v>
      </c>
      <c r="G24" s="172">
        <v>6</v>
      </c>
      <c r="H24" s="173"/>
      <c r="I24" s="47">
        <f>IF(D24="","",((IF(D24&gt;0,1,0)+IF(E24&gt;0,1,0)+IF(F24&gt;0,1,0)+IF(G24&gt;0,1,0)+IF(H24&gt;0,1,0))))</f>
        <v>3</v>
      </c>
      <c r="J24" s="47">
        <f>IF(D24="","",IF(D24&gt;0,0,1)+IF(E24="",0,IF(E24&gt;0,0,1))+IF(F24="",0,IF(F24&gt;0,0,1))+IF(G24="",0,IF(G24&gt;0,0,1))+IF(H24="",0,IF(H24&gt;0,0,1)))</f>
        <v>1</v>
      </c>
      <c r="K24" s="390"/>
      <c r="L24" s="391"/>
      <c r="M24" s="391"/>
      <c r="N24" s="391"/>
      <c r="O24" s="391"/>
    </row>
    <row r="25" spans="1:20" x14ac:dyDescent="0.2">
      <c r="A25" s="50" t="str">
        <f>'1-los'!F7</f>
        <v>skupina A4</v>
      </c>
      <c r="B25" s="167"/>
      <c r="C25" s="31"/>
      <c r="D25" s="31"/>
      <c r="E25" s="31"/>
      <c r="F25" s="31"/>
      <c r="G25" s="31"/>
      <c r="H25" s="31"/>
      <c r="I25" s="31"/>
      <c r="J25" s="31"/>
      <c r="K25" s="171" t="str">
        <f>A25</f>
        <v>skupina A4</v>
      </c>
      <c r="L25" s="168"/>
      <c r="M25" s="168"/>
      <c r="N25" s="168"/>
      <c r="O25" s="168"/>
    </row>
    <row r="26" spans="1:20" x14ac:dyDescent="0.2">
      <c r="A26" s="34" t="s">
        <v>159</v>
      </c>
      <c r="B26" s="33" t="s">
        <v>61</v>
      </c>
      <c r="C26" s="35" t="s">
        <v>62</v>
      </c>
      <c r="D26" s="35"/>
      <c r="E26" s="35"/>
      <c r="F26" s="35"/>
      <c r="G26" s="35"/>
      <c r="H26" s="35"/>
      <c r="I26" s="33"/>
      <c r="J26" s="33"/>
      <c r="K26" s="36" t="s">
        <v>63</v>
      </c>
      <c r="L26" s="169" t="s">
        <v>64</v>
      </c>
      <c r="M26" s="169" t="s">
        <v>65</v>
      </c>
      <c r="N26" s="169" t="s">
        <v>66</v>
      </c>
      <c r="O26" s="169" t="s">
        <v>57</v>
      </c>
    </row>
    <row r="27" spans="1:20" x14ac:dyDescent="0.2">
      <c r="A27" s="38" t="s">
        <v>536</v>
      </c>
      <c r="B27" s="32" t="str">
        <f>'1-los'!G8</f>
        <v>SOBOTÍKOVÁ Monika (TTC MS Brno)</v>
      </c>
      <c r="C27" s="39" t="str">
        <f>'1-los'!G11</f>
        <v>BAHENSKÝ Tomáš (TTC Koral Tišnov)</v>
      </c>
      <c r="D27" s="172">
        <v>6</v>
      </c>
      <c r="E27" s="172">
        <v>7</v>
      </c>
      <c r="F27" s="172">
        <v>9</v>
      </c>
      <c r="G27" s="172"/>
      <c r="H27" s="173"/>
      <c r="I27" s="47">
        <f>Q27</f>
        <v>3</v>
      </c>
      <c r="J27" s="47">
        <f>R27</f>
        <v>0</v>
      </c>
      <c r="K27" s="32" t="str">
        <f>calc1!BX34</f>
        <v>LUSKA Petr (KST Vyškov)</v>
      </c>
      <c r="L27" s="170">
        <f>calc1!BZ34</f>
        <v>3</v>
      </c>
      <c r="M27" s="170">
        <f>calc1!CB34</f>
        <v>0</v>
      </c>
      <c r="N27" s="170" t="str">
        <f>calc1!CF34</f>
        <v>9:4</v>
      </c>
      <c r="O27" s="170">
        <f>calc1!CE34</f>
        <v>6</v>
      </c>
      <c r="Q27" s="32">
        <f>IF(C27="bye",3,S27)</f>
        <v>3</v>
      </c>
      <c r="R27" s="32">
        <f>IF(C27="bye",0,T27)</f>
        <v>0</v>
      </c>
      <c r="S27" s="112">
        <f>IF(D27="","",((IF(D27&gt;0,1,0)+IF(E27&gt;0,1,0)+IF(F27&gt;0,1,0)+IF(G27&gt;0,1,0)+IF(H27&gt;0,1,0))))</f>
        <v>3</v>
      </c>
      <c r="T27" s="112">
        <f>IF(D27="","",IF(D27&gt;0,0,1)+IF(E27="",0,IF(E27&gt;0,0,1))+IF(F27="",0,IF(F27&gt;0,0,1))+IF(G27="",0,IF(G27&gt;0,0,1))+IF(H27="",0,IF(H27&gt;0,0,1)))</f>
        <v>0</v>
      </c>
    </row>
    <row r="28" spans="1:20" x14ac:dyDescent="0.2">
      <c r="A28" s="38" t="s">
        <v>537</v>
      </c>
      <c r="B28" s="32" t="str">
        <f>'1-los'!G9</f>
        <v>LUSKA Petr (KST Vyškov)</v>
      </c>
      <c r="C28" s="39" t="str">
        <f>'1-los'!G10</f>
        <v>KOTÁSKOVÁ Kristýna (SKST Hodonín)</v>
      </c>
      <c r="D28" s="172">
        <v>-4</v>
      </c>
      <c r="E28" s="172">
        <v>11</v>
      </c>
      <c r="F28" s="172">
        <v>6</v>
      </c>
      <c r="G28" s="172">
        <v>10</v>
      </c>
      <c r="H28" s="173"/>
      <c r="I28" s="47">
        <f>IF(D28="","",((IF(D28&gt;0,1,0)+IF(E28&gt;0,1,0)+IF(F28&gt;0,1,0)+IF(G28&gt;0,1,0)+IF(H28&gt;0,1,0))))</f>
        <v>3</v>
      </c>
      <c r="J28" s="47">
        <f>IF(D28="","",IF(D28&gt;0,0,1)+IF(E28="",0,IF(E28&gt;0,0,1))+IF(F28="",0,IF(F28&gt;0,0,1))+IF(G28="",0,IF(G28&gt;0,0,1))+IF(H28="",0,IF(H28&gt;0,0,1)))</f>
        <v>1</v>
      </c>
      <c r="K28" s="32" t="str">
        <f>calc1!BX35</f>
        <v>SOBOTÍKOVÁ Monika (TTC MS Brno)</v>
      </c>
      <c r="L28" s="170">
        <f>calc1!BZ35</f>
        <v>2</v>
      </c>
      <c r="M28" s="170">
        <f>calc1!CB35</f>
        <v>1</v>
      </c>
      <c r="N28" s="170" t="str">
        <f>calc1!CF35</f>
        <v>7:3</v>
      </c>
      <c r="O28" s="170">
        <f>calc1!CE35</f>
        <v>4</v>
      </c>
    </row>
    <row r="29" spans="1:20" x14ac:dyDescent="0.2">
      <c r="A29" s="38" t="s">
        <v>538</v>
      </c>
      <c r="B29" s="32" t="str">
        <f>C27</f>
        <v>BAHENSKÝ Tomáš (TTC Koral Tišnov)</v>
      </c>
      <c r="C29" s="39" t="str">
        <f>B28</f>
        <v>LUSKA Petr (KST Vyškov)</v>
      </c>
      <c r="D29" s="172">
        <v>10</v>
      </c>
      <c r="E29" s="172">
        <v>11</v>
      </c>
      <c r="F29" s="172">
        <v>-2</v>
      </c>
      <c r="G29" s="172">
        <v>-5</v>
      </c>
      <c r="H29" s="173">
        <v>-5</v>
      </c>
      <c r="I29" s="47">
        <f>Q29</f>
        <v>2</v>
      </c>
      <c r="J29" s="47">
        <f>R29</f>
        <v>3</v>
      </c>
      <c r="K29" s="32" t="str">
        <f>calc1!BX36</f>
        <v>BAHENSKÝ Tomáš (TTC Koral Tišnov)</v>
      </c>
      <c r="L29" s="170">
        <f>calc1!BZ36</f>
        <v>1</v>
      </c>
      <c r="M29" s="170">
        <f>calc1!CB36</f>
        <v>2</v>
      </c>
      <c r="N29" s="170" t="str">
        <f>calc1!CF36</f>
        <v>5:6</v>
      </c>
      <c r="O29" s="170">
        <f>calc1!CE36</f>
        <v>2</v>
      </c>
      <c r="Q29" s="32">
        <f>IF(B29="bye",0,S29)</f>
        <v>2</v>
      </c>
      <c r="R29" s="32">
        <f>IF(B29="bye",3,T29)</f>
        <v>3</v>
      </c>
      <c r="S29" s="112">
        <f>IF(D29="","",((IF(D29&gt;0,1,0)+IF(E29&gt;0,1,0)+IF(F29&gt;0,1,0)+IF(G29&gt;0,1,0)+IF(H29&gt;0,1,0))))</f>
        <v>2</v>
      </c>
      <c r="T29" s="112">
        <f>IF(D29="","",IF(D29&gt;0,0,1)+IF(E29="",0,IF(E29&gt;0,0,1))+IF(F29="",0,IF(F29&gt;0,0,1))+IF(G29="",0,IF(G29&gt;0,0,1))+IF(H29="",0,IF(H29&gt;0,0,1)))</f>
        <v>3</v>
      </c>
    </row>
    <row r="30" spans="1:20" x14ac:dyDescent="0.2">
      <c r="A30" s="38" t="s">
        <v>539</v>
      </c>
      <c r="B30" s="32" t="str">
        <f>C28</f>
        <v>KOTÁSKOVÁ Kristýna (SKST Hodonín)</v>
      </c>
      <c r="C30" s="39" t="str">
        <f>B27</f>
        <v>SOBOTÍKOVÁ Monika (TTC MS Brno)</v>
      </c>
      <c r="D30" s="172">
        <v>-9</v>
      </c>
      <c r="E30" s="172">
        <v>-11</v>
      </c>
      <c r="F30" s="172">
        <v>-10</v>
      </c>
      <c r="G30" s="172"/>
      <c r="H30" s="173"/>
      <c r="I30" s="47">
        <f>IF(D30="","",((IF(D30&gt;0,1,0)+IF(E30&gt;0,1,0)+IF(F30&gt;0,1,0)+IF(G30&gt;0,1,0)+IF(H30&gt;0,1,0))))</f>
        <v>0</v>
      </c>
      <c r="J30" s="47">
        <f>IF(D30="","",IF(D30&gt;0,0,1)+IF(E30="",0,IF(E30&gt;0,0,1))+IF(F30="",0,IF(F30&gt;0,0,1))+IF(G30="",0,IF(G30&gt;0,0,1))+IF(H30="",0,IF(H30&gt;0,0,1)))</f>
        <v>3</v>
      </c>
      <c r="K30" s="32" t="str">
        <f>calc1!BX37</f>
        <v>KOTÁSKOVÁ Kristýna (SKST Hodonín)</v>
      </c>
      <c r="L30" s="170">
        <f>calc1!BZ37</f>
        <v>0</v>
      </c>
      <c r="M30" s="170">
        <f>calc1!CB37</f>
        <v>3</v>
      </c>
      <c r="N30" s="170" t="str">
        <f>calc1!CF37</f>
        <v>1:9</v>
      </c>
      <c r="O30" s="170">
        <f>calc1!CE37</f>
        <v>0</v>
      </c>
    </row>
    <row r="31" spans="1:20" x14ac:dyDescent="0.2">
      <c r="A31" s="38" t="s">
        <v>540</v>
      </c>
      <c r="B31" s="32" t="str">
        <f>C28</f>
        <v>KOTÁSKOVÁ Kristýna (SKST Hodonín)</v>
      </c>
      <c r="C31" s="39" t="str">
        <f>C27</f>
        <v>BAHENSKÝ Tomáš (TTC Koral Tišnov)</v>
      </c>
      <c r="D31" s="172">
        <v>-8</v>
      </c>
      <c r="E31" s="172">
        <v>-12</v>
      </c>
      <c r="F31" s="172">
        <v>-8</v>
      </c>
      <c r="G31" s="172"/>
      <c r="H31" s="173"/>
      <c r="I31" s="47">
        <f>Q31</f>
        <v>0</v>
      </c>
      <c r="J31" s="47">
        <f>R31</f>
        <v>3</v>
      </c>
      <c r="K31" s="390"/>
      <c r="L31" s="391"/>
      <c r="M31" s="391"/>
      <c r="N31" s="391"/>
      <c r="O31" s="391"/>
      <c r="Q31" s="32">
        <f>IF(C31="bye",3,S31)</f>
        <v>0</v>
      </c>
      <c r="R31" s="32">
        <f>IF(C31="bye",0,T31)</f>
        <v>3</v>
      </c>
      <c r="S31" s="112">
        <f>IF(D31="","",((IF(D31&gt;0,1,0)+IF(E31&gt;0,1,0)+IF(F31&gt;0,1,0)+IF(G31&gt;0,1,0)+IF(H31&gt;0,1,0))))</f>
        <v>0</v>
      </c>
      <c r="T31" s="112">
        <f>IF(D31="","",IF(D31&gt;0,0,1)+IF(E31="",0,IF(E31&gt;0,0,1))+IF(F31="",0,IF(F31&gt;0,0,1))+IF(G31="",0,IF(G31&gt;0,0,1))+IF(H31="",0,IF(H31&gt;0,0,1)))</f>
        <v>3</v>
      </c>
    </row>
    <row r="32" spans="1:20" x14ac:dyDescent="0.2">
      <c r="A32" s="38" t="s">
        <v>541</v>
      </c>
      <c r="B32" s="32" t="str">
        <f>B27</f>
        <v>SOBOTÍKOVÁ Monika (TTC MS Brno)</v>
      </c>
      <c r="C32" s="39" t="str">
        <f>B28</f>
        <v>LUSKA Petr (KST Vyškov)</v>
      </c>
      <c r="D32" s="172">
        <v>-7</v>
      </c>
      <c r="E32" s="172">
        <v>-9</v>
      </c>
      <c r="F32" s="172">
        <v>7</v>
      </c>
      <c r="G32" s="172">
        <v>-8</v>
      </c>
      <c r="H32" s="173"/>
      <c r="I32" s="47">
        <f>IF(D32="","",((IF(D32&gt;0,1,0)+IF(E32&gt;0,1,0)+IF(F32&gt;0,1,0)+IF(G32&gt;0,1,0)+IF(H32&gt;0,1,0))))</f>
        <v>1</v>
      </c>
      <c r="J32" s="47">
        <f>IF(D32="","",IF(D32&gt;0,0,1)+IF(E32="",0,IF(E32&gt;0,0,1))+IF(F32="",0,IF(F32&gt;0,0,1))+IF(G32="",0,IF(G32&gt;0,0,1))+IF(H32="",0,IF(H32&gt;0,0,1)))</f>
        <v>3</v>
      </c>
      <c r="K32" s="390"/>
      <c r="L32" s="391"/>
      <c r="M32" s="391"/>
      <c r="N32" s="391"/>
      <c r="O32" s="391"/>
    </row>
    <row r="33" spans="1:20" x14ac:dyDescent="0.2">
      <c r="A33" s="50" t="str">
        <f>'1-los'!D12</f>
        <v>skupina A5</v>
      </c>
      <c r="B33" s="167"/>
      <c r="C33" s="31"/>
      <c r="D33" s="31"/>
      <c r="E33" s="31"/>
      <c r="F33" s="31"/>
      <c r="G33" s="31"/>
      <c r="H33" s="31"/>
      <c r="I33" s="31"/>
      <c r="J33" s="31"/>
      <c r="K33" s="171" t="str">
        <f>A33</f>
        <v>skupina A5</v>
      </c>
      <c r="L33" s="168"/>
      <c r="M33" s="168"/>
      <c r="N33" s="168"/>
      <c r="O33" s="168"/>
    </row>
    <row r="34" spans="1:20" x14ac:dyDescent="0.2">
      <c r="A34" s="34" t="s">
        <v>159</v>
      </c>
      <c r="B34" s="33" t="s">
        <v>61</v>
      </c>
      <c r="C34" s="35" t="s">
        <v>62</v>
      </c>
      <c r="D34" s="35"/>
      <c r="E34" s="35"/>
      <c r="F34" s="35"/>
      <c r="G34" s="35"/>
      <c r="H34" s="35"/>
      <c r="I34" s="33"/>
      <c r="J34" s="33"/>
      <c r="K34" s="36" t="s">
        <v>63</v>
      </c>
      <c r="L34" s="169" t="s">
        <v>64</v>
      </c>
      <c r="M34" s="169" t="s">
        <v>65</v>
      </c>
      <c r="N34" s="169" t="s">
        <v>66</v>
      </c>
      <c r="O34" s="169" t="s">
        <v>57</v>
      </c>
    </row>
    <row r="35" spans="1:20" x14ac:dyDescent="0.2">
      <c r="A35" s="38" t="s">
        <v>601</v>
      </c>
      <c r="B35" s="32" t="str">
        <f>'1-los'!E13</f>
        <v>KRIŠTOF Lukáš (TTC Koral Tišnov)</v>
      </c>
      <c r="C35" s="39" t="str">
        <f>'1-los'!E16</f>
        <v>HABÁŇOVÁ Michaela (KST Blansko)</v>
      </c>
      <c r="D35" s="172">
        <v>1</v>
      </c>
      <c r="E35" s="172">
        <v>1</v>
      </c>
      <c r="F35" s="172">
        <v>5</v>
      </c>
      <c r="G35" s="172"/>
      <c r="H35" s="173"/>
      <c r="I35" s="47">
        <f>Q35</f>
        <v>3</v>
      </c>
      <c r="J35" s="47">
        <f>R35</f>
        <v>0</v>
      </c>
      <c r="K35" s="32" t="str">
        <f>calc1!BX44</f>
        <v>KRIŠTOF Lukáš (TTC Koral Tišnov)</v>
      </c>
      <c r="L35" s="170">
        <f>calc1!BZ44</f>
        <v>3</v>
      </c>
      <c r="M35" s="170">
        <f>calc1!CB44</f>
        <v>0</v>
      </c>
      <c r="N35" s="170" t="str">
        <f>calc1!CF44</f>
        <v>9:1</v>
      </c>
      <c r="O35" s="170">
        <f>calc1!CE44</f>
        <v>6</v>
      </c>
      <c r="Q35" s="32">
        <f>IF(C35="bye",3,S35)</f>
        <v>3</v>
      </c>
      <c r="R35" s="32">
        <f>IF(C35="bye",0,T35)</f>
        <v>0</v>
      </c>
      <c r="S35" s="112">
        <f>IF(D35="","",((IF(D35&gt;0,1,0)+IF(E35&gt;0,1,0)+IF(F35&gt;0,1,0)+IF(G35&gt;0,1,0)+IF(H35&gt;0,1,0))))</f>
        <v>3</v>
      </c>
      <c r="T35" s="112">
        <f>IF(D35="","",IF(D35&gt;0,0,1)+IF(E35="",0,IF(E35&gt;0,0,1))+IF(F35="",0,IF(F35&gt;0,0,1))+IF(G35="",0,IF(G35&gt;0,0,1))+IF(H35="",0,IF(H35&gt;0,0,1)))</f>
        <v>0</v>
      </c>
    </row>
    <row r="36" spans="1:20" x14ac:dyDescent="0.2">
      <c r="A36" s="38" t="s">
        <v>604</v>
      </c>
      <c r="B36" s="32" t="str">
        <f>'1-los'!E14</f>
        <v>CHALÚPEK Filip (TTC MS Brno)</v>
      </c>
      <c r="C36" s="39" t="str">
        <f>'1-los'!E15</f>
        <v>SVOBODA Ondřej (KST Vyškov)</v>
      </c>
      <c r="D36" s="172">
        <v>2</v>
      </c>
      <c r="E36" s="172">
        <v>6</v>
      </c>
      <c r="F36" s="172">
        <v>10</v>
      </c>
      <c r="G36" s="172"/>
      <c r="H36" s="173"/>
      <c r="I36" s="47">
        <f>IF(D36="","",((IF(D36&gt;0,1,0)+IF(E36&gt;0,1,0)+IF(F36&gt;0,1,0)+IF(G36&gt;0,1,0)+IF(H36&gt;0,1,0))))</f>
        <v>3</v>
      </c>
      <c r="J36" s="47">
        <f>IF(D36="","",IF(D36&gt;0,0,1)+IF(E36="",0,IF(E36&gt;0,0,1))+IF(F36="",0,IF(F36&gt;0,0,1))+IF(G36="",0,IF(G36&gt;0,0,1))+IF(H36="",0,IF(H36&gt;0,0,1)))</f>
        <v>0</v>
      </c>
      <c r="K36" s="32" t="str">
        <f>calc1!BX45</f>
        <v>CHALÚPEK Filip (TTC MS Brno)</v>
      </c>
      <c r="L36" s="170">
        <f>calc1!BZ45</f>
        <v>2</v>
      </c>
      <c r="M36" s="170">
        <f>calc1!CB45</f>
        <v>1</v>
      </c>
      <c r="N36" s="170" t="str">
        <f>calc1!CF45</f>
        <v>7:3</v>
      </c>
      <c r="O36" s="170">
        <f>calc1!CE45</f>
        <v>4</v>
      </c>
    </row>
    <row r="37" spans="1:20" x14ac:dyDescent="0.2">
      <c r="A37" s="38" t="s">
        <v>607</v>
      </c>
      <c r="B37" s="32" t="str">
        <f>C35</f>
        <v>HABÁŇOVÁ Michaela (KST Blansko)</v>
      </c>
      <c r="C37" s="39" t="str">
        <f>B36</f>
        <v>CHALÚPEK Filip (TTC MS Brno)</v>
      </c>
      <c r="D37" s="172">
        <v>-11</v>
      </c>
      <c r="E37" s="172">
        <v>-5</v>
      </c>
      <c r="F37" s="172">
        <v>-8</v>
      </c>
      <c r="G37" s="172"/>
      <c r="H37" s="173"/>
      <c r="I37" s="47">
        <f>Q37</f>
        <v>0</v>
      </c>
      <c r="J37" s="47">
        <f>R37</f>
        <v>3</v>
      </c>
      <c r="K37" s="32" t="str">
        <f>calc1!BX46</f>
        <v>SVOBODA Ondřej (KST Vyškov)</v>
      </c>
      <c r="L37" s="170">
        <f>calc1!BZ46</f>
        <v>1</v>
      </c>
      <c r="M37" s="170">
        <f>calc1!CB46</f>
        <v>2</v>
      </c>
      <c r="N37" s="170" t="str">
        <f>calc1!CF46</f>
        <v>3:6</v>
      </c>
      <c r="O37" s="170">
        <f>calc1!CE46</f>
        <v>2</v>
      </c>
      <c r="Q37" s="32">
        <f>IF(B37="bye",0,S37)</f>
        <v>0</v>
      </c>
      <c r="R37" s="32">
        <f>IF(B37="bye",3,T37)</f>
        <v>3</v>
      </c>
      <c r="S37" s="112">
        <f>IF(D37="","",((IF(D37&gt;0,1,0)+IF(E37&gt;0,1,0)+IF(F37&gt;0,1,0)+IF(G37&gt;0,1,0)+IF(H37&gt;0,1,0))))</f>
        <v>0</v>
      </c>
      <c r="T37" s="112">
        <f>IF(D37="","",IF(D37&gt;0,0,1)+IF(E37="",0,IF(E37&gt;0,0,1))+IF(F37="",0,IF(F37&gt;0,0,1))+IF(G37="",0,IF(G37&gt;0,0,1))+IF(H37="",0,IF(H37&gt;0,0,1)))</f>
        <v>3</v>
      </c>
    </row>
    <row r="38" spans="1:20" x14ac:dyDescent="0.2">
      <c r="A38" s="38" t="s">
        <v>609</v>
      </c>
      <c r="B38" s="32" t="str">
        <f>C36</f>
        <v>SVOBODA Ondřej (KST Vyškov)</v>
      </c>
      <c r="C38" s="39" t="str">
        <f>B35</f>
        <v>KRIŠTOF Lukáš (TTC Koral Tišnov)</v>
      </c>
      <c r="D38" s="172">
        <v>-7</v>
      </c>
      <c r="E38" s="172">
        <v>-2</v>
      </c>
      <c r="F38" s="172">
        <v>-3</v>
      </c>
      <c r="G38" s="172"/>
      <c r="H38" s="173"/>
      <c r="I38" s="47">
        <f>IF(D38="","",((IF(D38&gt;0,1,0)+IF(E38&gt;0,1,0)+IF(F38&gt;0,1,0)+IF(G38&gt;0,1,0)+IF(H38&gt;0,1,0))))</f>
        <v>0</v>
      </c>
      <c r="J38" s="47">
        <f>IF(D38="","",IF(D38&gt;0,0,1)+IF(E38="",0,IF(E38&gt;0,0,1))+IF(F38="",0,IF(F38&gt;0,0,1))+IF(G38="",0,IF(G38&gt;0,0,1))+IF(H38="",0,IF(H38&gt;0,0,1)))</f>
        <v>3</v>
      </c>
      <c r="K38" s="32" t="str">
        <f>calc1!BX47</f>
        <v>HABÁŇOVÁ Michaela (KST Blansko)</v>
      </c>
      <c r="L38" s="170">
        <f>calc1!BZ47</f>
        <v>0</v>
      </c>
      <c r="M38" s="170">
        <f>calc1!CB47</f>
        <v>3</v>
      </c>
      <c r="N38" s="170" t="str">
        <f>calc1!CF47</f>
        <v>0:9</v>
      </c>
      <c r="O38" s="170">
        <f>calc1!CE47</f>
        <v>0</v>
      </c>
    </row>
    <row r="39" spans="1:20" x14ac:dyDescent="0.2">
      <c r="A39" s="38" t="s">
        <v>661</v>
      </c>
      <c r="B39" s="32" t="str">
        <f>C36</f>
        <v>SVOBODA Ondřej (KST Vyškov)</v>
      </c>
      <c r="C39" s="39" t="str">
        <f>C35</f>
        <v>HABÁŇOVÁ Michaela (KST Blansko)</v>
      </c>
      <c r="D39" s="172">
        <v>5</v>
      </c>
      <c r="E39" s="172">
        <v>8</v>
      </c>
      <c r="F39" s="172">
        <v>6</v>
      </c>
      <c r="G39" s="172"/>
      <c r="H39" s="173"/>
      <c r="I39" s="47">
        <f>Q39</f>
        <v>3</v>
      </c>
      <c r="J39" s="47">
        <f>R39</f>
        <v>0</v>
      </c>
      <c r="K39" s="390"/>
      <c r="L39" s="391"/>
      <c r="M39" s="391"/>
      <c r="N39" s="391"/>
      <c r="O39" s="391"/>
      <c r="Q39" s="32">
        <f>IF(C39="bye",3,S39)</f>
        <v>3</v>
      </c>
      <c r="R39" s="32">
        <f>IF(C39="bye",0,T39)</f>
        <v>0</v>
      </c>
      <c r="S39" s="112">
        <f>IF(D39="","",((IF(D39&gt;0,1,0)+IF(E39&gt;0,1,0)+IF(F39&gt;0,1,0)+IF(G39&gt;0,1,0)+IF(H39&gt;0,1,0))))</f>
        <v>3</v>
      </c>
      <c r="T39" s="112">
        <f>IF(D39="","",IF(D39&gt;0,0,1)+IF(E39="",0,IF(E39&gt;0,0,1))+IF(F39="",0,IF(F39&gt;0,0,1))+IF(G39="",0,IF(G39&gt;0,0,1))+IF(H39="",0,IF(H39&gt;0,0,1)))</f>
        <v>0</v>
      </c>
    </row>
    <row r="40" spans="1:20" x14ac:dyDescent="0.2">
      <c r="A40" s="38" t="s">
        <v>662</v>
      </c>
      <c r="B40" s="32" t="str">
        <f>B35</f>
        <v>KRIŠTOF Lukáš (TTC Koral Tišnov)</v>
      </c>
      <c r="C40" s="39" t="str">
        <f>B36</f>
        <v>CHALÚPEK Filip (TTC MS Brno)</v>
      </c>
      <c r="D40" s="172">
        <v>7</v>
      </c>
      <c r="E40" s="172">
        <v>-6</v>
      </c>
      <c r="F40" s="172">
        <v>3</v>
      </c>
      <c r="G40" s="172">
        <v>8</v>
      </c>
      <c r="H40" s="173"/>
      <c r="I40" s="47">
        <f>IF(D40="","",((IF(D40&gt;0,1,0)+IF(E40&gt;0,1,0)+IF(F40&gt;0,1,0)+IF(G40&gt;0,1,0)+IF(H40&gt;0,1,0))))</f>
        <v>3</v>
      </c>
      <c r="J40" s="47">
        <f>IF(D40="","",IF(D40&gt;0,0,1)+IF(E40="",0,IF(E40&gt;0,0,1))+IF(F40="",0,IF(F40&gt;0,0,1))+IF(G40="",0,IF(G40&gt;0,0,1))+IF(H40="",0,IF(H40&gt;0,0,1)))</f>
        <v>1</v>
      </c>
      <c r="K40" s="390"/>
      <c r="L40" s="391"/>
      <c r="M40" s="391"/>
      <c r="N40" s="391"/>
      <c r="O40" s="391"/>
    </row>
    <row r="41" spans="1:20" x14ac:dyDescent="0.2">
      <c r="A41" s="50" t="str">
        <f>'1-los'!F12</f>
        <v>skupina A6</v>
      </c>
      <c r="B41" s="167"/>
      <c r="C41" s="31"/>
      <c r="D41" s="31"/>
      <c r="E41" s="31"/>
      <c r="F41" s="31"/>
      <c r="G41" s="31"/>
      <c r="H41" s="31"/>
      <c r="I41" s="31"/>
      <c r="J41" s="31"/>
      <c r="K41" s="171" t="str">
        <f>A41</f>
        <v>skupina A6</v>
      </c>
      <c r="L41" s="168"/>
      <c r="M41" s="168"/>
      <c r="N41" s="168"/>
      <c r="O41" s="168"/>
    </row>
    <row r="42" spans="1:20" x14ac:dyDescent="0.2">
      <c r="A42" s="34" t="s">
        <v>159</v>
      </c>
      <c r="B42" s="33" t="s">
        <v>61</v>
      </c>
      <c r="C42" s="35" t="s">
        <v>62</v>
      </c>
      <c r="D42" s="35"/>
      <c r="E42" s="35"/>
      <c r="F42" s="35"/>
      <c r="G42" s="35"/>
      <c r="H42" s="35"/>
      <c r="I42" s="33"/>
      <c r="J42" s="33"/>
      <c r="K42" s="36" t="s">
        <v>63</v>
      </c>
      <c r="L42" s="169" t="s">
        <v>64</v>
      </c>
      <c r="M42" s="169" t="s">
        <v>65</v>
      </c>
      <c r="N42" s="169" t="s">
        <v>66</v>
      </c>
      <c r="O42" s="169" t="s">
        <v>57</v>
      </c>
    </row>
    <row r="43" spans="1:20" x14ac:dyDescent="0.2">
      <c r="A43" s="38" t="s">
        <v>602</v>
      </c>
      <c r="B43" s="32" t="str">
        <f>'1-los'!G13</f>
        <v>BUK Lukáš (TTC MS Brno)</v>
      </c>
      <c r="C43" s="39" t="str">
        <f>'1-los'!G16</f>
        <v>DREITS Anastasiia (TTC Koral Tišnov)</v>
      </c>
      <c r="D43" s="172">
        <v>8</v>
      </c>
      <c r="E43" s="172">
        <v>13</v>
      </c>
      <c r="F43" s="172">
        <v>4</v>
      </c>
      <c r="G43" s="172"/>
      <c r="H43" s="173"/>
      <c r="I43" s="47">
        <f>Q43</f>
        <v>3</v>
      </c>
      <c r="J43" s="47">
        <f>R43</f>
        <v>0</v>
      </c>
      <c r="K43" s="32" t="str">
        <f>calc1!BX54</f>
        <v>BUK Lukáš (TTC MS Brno)</v>
      </c>
      <c r="L43" s="170">
        <f>calc1!BZ54</f>
        <v>3</v>
      </c>
      <c r="M43" s="170">
        <f>calc1!CB54</f>
        <v>0</v>
      </c>
      <c r="N43" s="170" t="str">
        <f>calc1!CF54</f>
        <v>9:0</v>
      </c>
      <c r="O43" s="170">
        <f>calc1!CE54</f>
        <v>6</v>
      </c>
      <c r="Q43" s="32">
        <f>IF(C43="bye",3,S43)</f>
        <v>3</v>
      </c>
      <c r="R43" s="32">
        <f>IF(C43="bye",0,T43)</f>
        <v>0</v>
      </c>
      <c r="S43" s="112">
        <f>IF(D43="","",((IF(D43&gt;0,1,0)+IF(E43&gt;0,1,0)+IF(F43&gt;0,1,0)+IF(G43&gt;0,1,0)+IF(H43&gt;0,1,0))))</f>
        <v>3</v>
      </c>
      <c r="T43" s="112">
        <f>IF(D43="","",IF(D43&gt;0,0,1)+IF(E43="",0,IF(E43&gt;0,0,1))+IF(F43="",0,IF(F43&gt;0,0,1))+IF(G43="",0,IF(G43&gt;0,0,1))+IF(H43="",0,IF(H43&gt;0,0,1)))</f>
        <v>0</v>
      </c>
    </row>
    <row r="44" spans="1:20" x14ac:dyDescent="0.2">
      <c r="A44" s="38" t="s">
        <v>603</v>
      </c>
      <c r="B44" s="32" t="str">
        <f>'1-los'!G14</f>
        <v>MAZALOVÁ Kristýna (KST Blansko)</v>
      </c>
      <c r="C44" s="39" t="str">
        <f>'1-los'!G15</f>
        <v>NOVOTNÁ Eliška (SKST Hodonín)</v>
      </c>
      <c r="D44" s="172">
        <v>-4</v>
      </c>
      <c r="E44" s="172">
        <v>-6</v>
      </c>
      <c r="F44" s="172">
        <v>3</v>
      </c>
      <c r="G44" s="172">
        <v>9</v>
      </c>
      <c r="H44" s="173">
        <v>-6</v>
      </c>
      <c r="I44" s="47">
        <f>IF(D44="","",((IF(D44&gt;0,1,0)+IF(E44&gt;0,1,0)+IF(F44&gt;0,1,0)+IF(G44&gt;0,1,0)+IF(H44&gt;0,1,0))))</f>
        <v>2</v>
      </c>
      <c r="J44" s="47">
        <f>IF(D44="","",IF(D44&gt;0,0,1)+IF(E44="",0,IF(E44&gt;0,0,1))+IF(F44="",0,IF(F44&gt;0,0,1))+IF(G44="",0,IF(G44&gt;0,0,1))+IF(H44="",0,IF(H44&gt;0,0,1)))</f>
        <v>3</v>
      </c>
      <c r="K44" s="32" t="str">
        <f>calc1!BX55</f>
        <v>DREITS Anastasiia (TTC Koral Tišnov)</v>
      </c>
      <c r="L44" s="170">
        <f>calc1!BZ55</f>
        <v>2</v>
      </c>
      <c r="M44" s="170">
        <f>calc1!CB55</f>
        <v>1</v>
      </c>
      <c r="N44" s="170" t="str">
        <f>calc1!CF55</f>
        <v>6:3</v>
      </c>
      <c r="O44" s="170">
        <f>calc1!CE55</f>
        <v>4</v>
      </c>
    </row>
    <row r="45" spans="1:20" x14ac:dyDescent="0.2">
      <c r="A45" s="38" t="s">
        <v>610</v>
      </c>
      <c r="B45" s="32" t="str">
        <f>C43</f>
        <v>DREITS Anastasiia (TTC Koral Tišnov)</v>
      </c>
      <c r="C45" s="39" t="str">
        <f>B44</f>
        <v>MAZALOVÁ Kristýna (KST Blansko)</v>
      </c>
      <c r="D45" s="172">
        <v>9</v>
      </c>
      <c r="E45" s="172">
        <v>10</v>
      </c>
      <c r="F45" s="172">
        <v>6</v>
      </c>
      <c r="G45" s="172"/>
      <c r="H45" s="173"/>
      <c r="I45" s="47">
        <f>Q45</f>
        <v>3</v>
      </c>
      <c r="J45" s="47">
        <f>R45</f>
        <v>0</v>
      </c>
      <c r="K45" s="32" t="str">
        <f>calc1!BX56</f>
        <v>NOVOTNÁ Eliška (SKST Hodonín)</v>
      </c>
      <c r="L45" s="170">
        <f>calc1!BZ56</f>
        <v>1</v>
      </c>
      <c r="M45" s="170">
        <f>calc1!CB56</f>
        <v>2</v>
      </c>
      <c r="N45" s="170" t="str">
        <f>calc1!CF56</f>
        <v>3:8</v>
      </c>
      <c r="O45" s="170">
        <f>calc1!CE56</f>
        <v>2</v>
      </c>
      <c r="Q45" s="32">
        <f>IF(B45="bye",0,S45)</f>
        <v>3</v>
      </c>
      <c r="R45" s="32">
        <f>IF(B45="bye",3,T45)</f>
        <v>0</v>
      </c>
      <c r="S45" s="112">
        <f>IF(D45="","",((IF(D45&gt;0,1,0)+IF(E45&gt;0,1,0)+IF(F45&gt;0,1,0)+IF(G45&gt;0,1,0)+IF(H45&gt;0,1,0))))</f>
        <v>3</v>
      </c>
      <c r="T45" s="112">
        <f>IF(D45="","",IF(D45&gt;0,0,1)+IF(E45="",0,IF(E45&gt;0,0,1))+IF(F45="",0,IF(F45&gt;0,0,1))+IF(G45="",0,IF(G45&gt;0,0,1))+IF(H45="",0,IF(H45&gt;0,0,1)))</f>
        <v>0</v>
      </c>
    </row>
    <row r="46" spans="1:20" x14ac:dyDescent="0.2">
      <c r="A46" s="38" t="s">
        <v>608</v>
      </c>
      <c r="B46" s="32" t="str">
        <f>C44</f>
        <v>NOVOTNÁ Eliška (SKST Hodonín)</v>
      </c>
      <c r="C46" s="39" t="str">
        <f>B43</f>
        <v>BUK Lukáš (TTC MS Brno)</v>
      </c>
      <c r="D46" s="172">
        <v>-1</v>
      </c>
      <c r="E46" s="172">
        <v>-6</v>
      </c>
      <c r="F46" s="172">
        <v>-7</v>
      </c>
      <c r="G46" s="172"/>
      <c r="H46" s="173"/>
      <c r="I46" s="47">
        <f>IF(D46="","",((IF(D46&gt;0,1,0)+IF(E46&gt;0,1,0)+IF(F46&gt;0,1,0)+IF(G46&gt;0,1,0)+IF(H46&gt;0,1,0))))</f>
        <v>0</v>
      </c>
      <c r="J46" s="47">
        <f>IF(D46="","",IF(D46&gt;0,0,1)+IF(E46="",0,IF(E46&gt;0,0,1))+IF(F46="",0,IF(F46&gt;0,0,1))+IF(G46="",0,IF(G46&gt;0,0,1))+IF(H46="",0,IF(H46&gt;0,0,1)))</f>
        <v>3</v>
      </c>
      <c r="K46" s="32" t="str">
        <f>calc1!BX57</f>
        <v>MAZALOVÁ Kristýna (KST Blansko)</v>
      </c>
      <c r="L46" s="170">
        <f>calc1!BZ57</f>
        <v>0</v>
      </c>
      <c r="M46" s="170">
        <f>calc1!CB57</f>
        <v>3</v>
      </c>
      <c r="N46" s="170" t="str">
        <f>calc1!CF57</f>
        <v>2:9</v>
      </c>
      <c r="O46" s="170">
        <f>calc1!CE57</f>
        <v>0</v>
      </c>
    </row>
    <row r="47" spans="1:20" x14ac:dyDescent="0.2">
      <c r="A47" s="38" t="s">
        <v>663</v>
      </c>
      <c r="B47" s="32" t="str">
        <f>C44</f>
        <v>NOVOTNÁ Eliška (SKST Hodonín)</v>
      </c>
      <c r="C47" s="39" t="str">
        <f>C43</f>
        <v>DREITS Anastasiia (TTC Koral Tišnov)</v>
      </c>
      <c r="D47" s="172">
        <v>-6</v>
      </c>
      <c r="E47" s="172">
        <v>-5</v>
      </c>
      <c r="F47" s="172">
        <v>-6</v>
      </c>
      <c r="G47" s="172"/>
      <c r="H47" s="173"/>
      <c r="I47" s="47">
        <f>Q47</f>
        <v>0</v>
      </c>
      <c r="J47" s="47">
        <f>R47</f>
        <v>3</v>
      </c>
      <c r="K47" s="390"/>
      <c r="L47" s="391"/>
      <c r="M47" s="391"/>
      <c r="N47" s="391"/>
      <c r="O47" s="391"/>
      <c r="Q47" s="32">
        <f>IF(C47="bye",3,S47)</f>
        <v>0</v>
      </c>
      <c r="R47" s="32">
        <f>IF(C47="bye",0,T47)</f>
        <v>3</v>
      </c>
      <c r="S47" s="112">
        <f>IF(D47="","",((IF(D47&gt;0,1,0)+IF(E47&gt;0,1,0)+IF(F47&gt;0,1,0)+IF(G47&gt;0,1,0)+IF(H47&gt;0,1,0))))</f>
        <v>0</v>
      </c>
      <c r="T47" s="112">
        <f>IF(D47="","",IF(D47&gt;0,0,1)+IF(E47="",0,IF(E47&gt;0,0,1))+IF(F47="",0,IF(F47&gt;0,0,1))+IF(G47="",0,IF(G47&gt;0,0,1))+IF(H47="",0,IF(H47&gt;0,0,1)))</f>
        <v>3</v>
      </c>
    </row>
    <row r="48" spans="1:20" x14ac:dyDescent="0.2">
      <c r="A48" s="38" t="s">
        <v>664</v>
      </c>
      <c r="B48" s="32" t="str">
        <f>B43</f>
        <v>BUK Lukáš (TTC MS Brno)</v>
      </c>
      <c r="C48" s="39" t="str">
        <f>B44</f>
        <v>MAZALOVÁ Kristýna (KST Blansko)</v>
      </c>
      <c r="D48" s="172">
        <v>6</v>
      </c>
      <c r="E48" s="172">
        <v>10</v>
      </c>
      <c r="F48" s="172">
        <v>9</v>
      </c>
      <c r="G48" s="172"/>
      <c r="H48" s="173"/>
      <c r="I48" s="47">
        <f>IF(D48="","",((IF(D48&gt;0,1,0)+IF(E48&gt;0,1,0)+IF(F48&gt;0,1,0)+IF(G48&gt;0,1,0)+IF(H48&gt;0,1,0))))</f>
        <v>3</v>
      </c>
      <c r="J48" s="47">
        <f>IF(D48="","",IF(D48&gt;0,0,1)+IF(E48="",0,IF(E48&gt;0,0,1))+IF(F48="",0,IF(F48&gt;0,0,1))+IF(G48="",0,IF(G48&gt;0,0,1))+IF(H48="",0,IF(H48&gt;0,0,1)))</f>
        <v>0</v>
      </c>
      <c r="K48" s="390"/>
      <c r="L48" s="391"/>
      <c r="M48" s="391"/>
      <c r="N48" s="391"/>
      <c r="O48" s="391"/>
    </row>
    <row r="49" spans="1:20" x14ac:dyDescent="0.2">
      <c r="A49" s="50" t="str">
        <f>'1-los'!D17</f>
        <v>skupina A7</v>
      </c>
      <c r="B49" s="167"/>
      <c r="C49" s="31"/>
      <c r="D49" s="31"/>
      <c r="E49" s="31"/>
      <c r="F49" s="31"/>
      <c r="G49" s="31"/>
      <c r="H49" s="31"/>
      <c r="I49" s="31"/>
      <c r="J49" s="31"/>
      <c r="K49" s="171" t="str">
        <f>A49</f>
        <v>skupina A7</v>
      </c>
      <c r="L49" s="168"/>
      <c r="M49" s="168"/>
      <c r="N49" s="168"/>
      <c r="O49" s="168"/>
    </row>
    <row r="50" spans="1:20" x14ac:dyDescent="0.2">
      <c r="A50" s="34" t="s">
        <v>159</v>
      </c>
      <c r="B50" s="33" t="s">
        <v>61</v>
      </c>
      <c r="C50" s="35" t="s">
        <v>62</v>
      </c>
      <c r="D50" s="35"/>
      <c r="E50" s="35"/>
      <c r="F50" s="35"/>
      <c r="G50" s="35"/>
      <c r="H50" s="35"/>
      <c r="I50" s="33"/>
      <c r="J50" s="33"/>
      <c r="K50" s="36" t="s">
        <v>63</v>
      </c>
      <c r="L50" s="169" t="s">
        <v>64</v>
      </c>
      <c r="M50" s="169" t="s">
        <v>65</v>
      </c>
      <c r="N50" s="169" t="s">
        <v>66</v>
      </c>
      <c r="O50" s="169" t="s">
        <v>57</v>
      </c>
    </row>
    <row r="51" spans="1:20" x14ac:dyDescent="0.2">
      <c r="A51" s="38" t="s">
        <v>615</v>
      </c>
      <c r="B51" s="32" t="str">
        <f>'1-los'!E18</f>
        <v>POKORNÝ Martin (KST Blansko)</v>
      </c>
      <c r="C51" s="39" t="str">
        <f>'1-los'!E21</f>
        <v/>
      </c>
      <c r="D51" s="172"/>
      <c r="E51" s="172"/>
      <c r="F51" s="172"/>
      <c r="G51" s="172"/>
      <c r="H51" s="173"/>
      <c r="I51" s="47" t="str">
        <f>Q51</f>
        <v/>
      </c>
      <c r="J51" s="47" t="str">
        <f>R51</f>
        <v/>
      </c>
      <c r="K51" s="32" t="str">
        <f>calc1!BX64</f>
        <v>KRÁL Ondřej (SKST Hodonín)</v>
      </c>
      <c r="L51" s="170">
        <f>calc1!BZ64</f>
        <v>2</v>
      </c>
      <c r="M51" s="170">
        <f>calc1!CB64</f>
        <v>0</v>
      </c>
      <c r="N51" s="170" t="str">
        <f>calc1!CF64</f>
        <v>6:1</v>
      </c>
      <c r="O51" s="170">
        <f>calc1!CE64</f>
        <v>4</v>
      </c>
      <c r="Q51" s="32" t="str">
        <f>IF(C51="bye",3,S51)</f>
        <v/>
      </c>
      <c r="R51" s="32" t="str">
        <f>IF(C51="bye",0,T51)</f>
        <v/>
      </c>
      <c r="S51" s="112" t="str">
        <f>IF(D51="","",((IF(D51&gt;0,1,0)+IF(E51&gt;0,1,0)+IF(F51&gt;0,1,0)+IF(G51&gt;0,1,0)+IF(H51&gt;0,1,0))))</f>
        <v/>
      </c>
      <c r="T51" s="112" t="str">
        <f>IF(D51="","",IF(D51&gt;0,0,1)+IF(E51="",0,IF(E51&gt;0,0,1))+IF(F51="",0,IF(F51&gt;0,0,1))+IF(G51="",0,IF(G51&gt;0,0,1))+IF(H51="",0,IF(H51&gt;0,0,1)))</f>
        <v/>
      </c>
    </row>
    <row r="52" spans="1:20" x14ac:dyDescent="0.2">
      <c r="A52" s="38" t="s">
        <v>613</v>
      </c>
      <c r="B52" s="32" t="str">
        <f>'1-los'!E19</f>
        <v>HAVRÁNEK Ondřej (TTC MS Brno)</v>
      </c>
      <c r="C52" s="39" t="str">
        <f>'1-los'!E20</f>
        <v>KRÁL Ondřej (SKST Hodonín)</v>
      </c>
      <c r="D52" s="172">
        <v>-8</v>
      </c>
      <c r="E52" s="172">
        <v>-4</v>
      </c>
      <c r="F52" s="172">
        <v>-11</v>
      </c>
      <c r="G52" s="172"/>
      <c r="H52" s="173"/>
      <c r="I52" s="47">
        <f>IF(D52="","",((IF(D52&gt;0,1,0)+IF(E52&gt;0,1,0)+IF(F52&gt;0,1,0)+IF(G52&gt;0,1,0)+IF(H52&gt;0,1,0))))</f>
        <v>0</v>
      </c>
      <c r="J52" s="47">
        <f>IF(D52="","",IF(D52&gt;0,0,1)+IF(E52="",0,IF(E52&gt;0,0,1))+IF(F52="",0,IF(F52&gt;0,0,1))+IF(G52="",0,IF(G52&gt;0,0,1))+IF(H52="",0,IF(H52&gt;0,0,1)))</f>
        <v>3</v>
      </c>
      <c r="K52" s="32" t="str">
        <f>calc1!BX65</f>
        <v>POKORNÝ Martin (KST Blansko)</v>
      </c>
      <c r="L52" s="170">
        <f>calc1!BZ65</f>
        <v>1</v>
      </c>
      <c r="M52" s="170">
        <f>calc1!CB65</f>
        <v>1</v>
      </c>
      <c r="N52" s="170" t="str">
        <f>calc1!CF65</f>
        <v>4:4</v>
      </c>
      <c r="O52" s="170">
        <f>calc1!CE65</f>
        <v>2</v>
      </c>
    </row>
    <row r="53" spans="1:20" x14ac:dyDescent="0.2">
      <c r="A53" s="38" t="s">
        <v>619</v>
      </c>
      <c r="B53" s="32" t="str">
        <f>C51</f>
        <v/>
      </c>
      <c r="C53" s="39" t="str">
        <f>B52</f>
        <v>HAVRÁNEK Ondřej (TTC MS Brno)</v>
      </c>
      <c r="D53" s="172"/>
      <c r="E53" s="172"/>
      <c r="F53" s="172"/>
      <c r="G53" s="172"/>
      <c r="H53" s="173"/>
      <c r="I53" s="47" t="str">
        <f>Q53</f>
        <v/>
      </c>
      <c r="J53" s="47" t="str">
        <f>R53</f>
        <v/>
      </c>
      <c r="K53" s="32" t="str">
        <f>calc1!BX66</f>
        <v/>
      </c>
      <c r="L53" s="170">
        <f>calc1!BZ66</f>
        <v>0</v>
      </c>
      <c r="M53" s="170">
        <f>calc1!CB66</f>
        <v>0</v>
      </c>
      <c r="N53" s="170" t="str">
        <f>calc1!CF66</f>
        <v>0:0</v>
      </c>
      <c r="O53" s="170">
        <f>calc1!CE66</f>
        <v>0</v>
      </c>
      <c r="Q53" s="32" t="str">
        <f>IF(B53="bye",0,S53)</f>
        <v/>
      </c>
      <c r="R53" s="32" t="str">
        <f>IF(B53="bye",3,T53)</f>
        <v/>
      </c>
      <c r="S53" s="112" t="str">
        <f>IF(D53="","",((IF(D53&gt;0,1,0)+IF(E53&gt;0,1,0)+IF(F53&gt;0,1,0)+IF(G53&gt;0,1,0)+IF(H53&gt;0,1,0))))</f>
        <v/>
      </c>
      <c r="T53" s="112" t="str">
        <f>IF(D53="","",IF(D53&gt;0,0,1)+IF(E53="",0,IF(E53&gt;0,0,1))+IF(F53="",0,IF(F53&gt;0,0,1))+IF(G53="",0,IF(G53&gt;0,0,1))+IF(H53="",0,IF(H53&gt;0,0,1)))</f>
        <v/>
      </c>
    </row>
    <row r="54" spans="1:20" x14ac:dyDescent="0.2">
      <c r="A54" s="38" t="s">
        <v>617</v>
      </c>
      <c r="B54" s="32" t="str">
        <f>C52</f>
        <v>KRÁL Ondřej (SKST Hodonín)</v>
      </c>
      <c r="C54" s="39" t="str">
        <f>B51</f>
        <v>POKORNÝ Martin (KST Blansko)</v>
      </c>
      <c r="D54" s="172">
        <v>4</v>
      </c>
      <c r="E54" s="172">
        <v>8</v>
      </c>
      <c r="F54" s="172">
        <v>-9</v>
      </c>
      <c r="G54" s="172">
        <v>7</v>
      </c>
      <c r="H54" s="173"/>
      <c r="I54" s="47">
        <f>IF(D54="","",((IF(D54&gt;0,1,0)+IF(E54&gt;0,1,0)+IF(F54&gt;0,1,0)+IF(G54&gt;0,1,0)+IF(H54&gt;0,1,0))))</f>
        <v>3</v>
      </c>
      <c r="J54" s="47">
        <f>IF(D54="","",IF(D54&gt;0,0,1)+IF(E54="",0,IF(E54&gt;0,0,1))+IF(F54="",0,IF(F54&gt;0,0,1))+IF(G54="",0,IF(G54&gt;0,0,1))+IF(H54="",0,IF(H54&gt;0,0,1)))</f>
        <v>1</v>
      </c>
      <c r="K54" s="32" t="str">
        <f>calc1!BX67</f>
        <v>HAVRÁNEK Ondřej (TTC MS Brno)</v>
      </c>
      <c r="L54" s="170">
        <f>calc1!BZ67</f>
        <v>0</v>
      </c>
      <c r="M54" s="170">
        <f>calc1!CB67</f>
        <v>2</v>
      </c>
      <c r="N54" s="170" t="str">
        <f>calc1!CF67</f>
        <v>1:6</v>
      </c>
      <c r="O54" s="170">
        <f>calc1!CE67</f>
        <v>0</v>
      </c>
    </row>
    <row r="55" spans="1:20" x14ac:dyDescent="0.2">
      <c r="A55" s="38" t="s">
        <v>665</v>
      </c>
      <c r="B55" s="32" t="str">
        <f>C52</f>
        <v>KRÁL Ondřej (SKST Hodonín)</v>
      </c>
      <c r="C55" s="39" t="str">
        <f>C51</f>
        <v/>
      </c>
      <c r="D55" s="172"/>
      <c r="E55" s="172"/>
      <c r="F55" s="172"/>
      <c r="G55" s="172"/>
      <c r="H55" s="173"/>
      <c r="I55" s="47" t="str">
        <f>Q55</f>
        <v/>
      </c>
      <c r="J55" s="47" t="str">
        <f>R55</f>
        <v/>
      </c>
      <c r="K55" s="390"/>
      <c r="L55" s="391"/>
      <c r="M55" s="391"/>
      <c r="N55" s="391"/>
      <c r="O55" s="391"/>
      <c r="Q55" s="32" t="str">
        <f>IF(C55="bye",3,S55)</f>
        <v/>
      </c>
      <c r="R55" s="32" t="str">
        <f>IF(C55="bye",0,T55)</f>
        <v/>
      </c>
      <c r="S55" s="112" t="str">
        <f>IF(D55="","",((IF(D55&gt;0,1,0)+IF(E55&gt;0,1,0)+IF(F55&gt;0,1,0)+IF(G55&gt;0,1,0)+IF(H55&gt;0,1,0))))</f>
        <v/>
      </c>
      <c r="T55" s="112" t="str">
        <f>IF(D55="","",IF(D55&gt;0,0,1)+IF(E55="",0,IF(E55&gt;0,0,1))+IF(F55="",0,IF(F55&gt;0,0,1))+IF(G55="",0,IF(G55&gt;0,0,1))+IF(H55="",0,IF(H55&gt;0,0,1)))</f>
        <v/>
      </c>
    </row>
    <row r="56" spans="1:20" x14ac:dyDescent="0.2">
      <c r="A56" s="38" t="s">
        <v>666</v>
      </c>
      <c r="B56" s="32" t="str">
        <f>B51</f>
        <v>POKORNÝ Martin (KST Blansko)</v>
      </c>
      <c r="C56" s="39" t="str">
        <f>B52</f>
        <v>HAVRÁNEK Ondřej (TTC MS Brno)</v>
      </c>
      <c r="D56" s="172">
        <v>5</v>
      </c>
      <c r="E56" s="172">
        <v>7</v>
      </c>
      <c r="F56" s="172">
        <v>-11</v>
      </c>
      <c r="G56" s="172">
        <v>4</v>
      </c>
      <c r="H56" s="173"/>
      <c r="I56" s="47">
        <f>IF(D56="","",((IF(D56&gt;0,1,0)+IF(E56&gt;0,1,0)+IF(F56&gt;0,1,0)+IF(G56&gt;0,1,0)+IF(H56&gt;0,1,0))))</f>
        <v>3</v>
      </c>
      <c r="J56" s="47">
        <f>IF(D56="","",IF(D56&gt;0,0,1)+IF(E56="",0,IF(E56&gt;0,0,1))+IF(F56="",0,IF(F56&gt;0,0,1))+IF(G56="",0,IF(G56&gt;0,0,1))+IF(H56="",0,IF(H56&gt;0,0,1)))</f>
        <v>1</v>
      </c>
      <c r="K56" s="390"/>
      <c r="L56" s="391"/>
      <c r="M56" s="391"/>
      <c r="N56" s="391"/>
      <c r="O56" s="391"/>
    </row>
    <row r="57" spans="1:20" x14ac:dyDescent="0.2">
      <c r="A57" s="50" t="str">
        <f>'1-los'!F17</f>
        <v>skupina A8</v>
      </c>
      <c r="B57" s="167"/>
      <c r="C57" s="31"/>
      <c r="D57" s="31"/>
      <c r="E57" s="31"/>
      <c r="F57" s="31"/>
      <c r="G57" s="31"/>
      <c r="H57" s="31"/>
      <c r="I57" s="31"/>
      <c r="J57" s="31"/>
      <c r="K57" s="171" t="str">
        <f>A57</f>
        <v>skupina A8</v>
      </c>
      <c r="L57" s="168"/>
      <c r="M57" s="168"/>
      <c r="N57" s="168"/>
      <c r="O57" s="168"/>
    </row>
    <row r="58" spans="1:20" x14ac:dyDescent="0.2">
      <c r="A58" s="34" t="s">
        <v>159</v>
      </c>
      <c r="B58" s="33" t="s">
        <v>61</v>
      </c>
      <c r="C58" s="35" t="s">
        <v>62</v>
      </c>
      <c r="D58" s="35"/>
      <c r="E58" s="35"/>
      <c r="F58" s="35"/>
      <c r="G58" s="35"/>
      <c r="H58" s="35"/>
      <c r="I58" s="33"/>
      <c r="J58" s="33"/>
      <c r="K58" s="36" t="s">
        <v>63</v>
      </c>
      <c r="L58" s="169" t="s">
        <v>64</v>
      </c>
      <c r="M58" s="169" t="s">
        <v>65</v>
      </c>
      <c r="N58" s="169" t="s">
        <v>66</v>
      </c>
      <c r="O58" s="169" t="s">
        <v>57</v>
      </c>
    </row>
    <row r="59" spans="1:20" x14ac:dyDescent="0.2">
      <c r="A59" s="38" t="s">
        <v>614</v>
      </c>
      <c r="B59" s="32" t="str">
        <f>'1-los'!G18</f>
        <v>DOFEK David (KST Vyškov)</v>
      </c>
      <c r="C59" s="39" t="str">
        <f>'1-los'!G21</f>
        <v>ŠIMEČEK Robin (TTC MS Brno)</v>
      </c>
      <c r="D59" s="172">
        <v>5</v>
      </c>
      <c r="E59" s="172">
        <v>6</v>
      </c>
      <c r="F59" s="172">
        <v>6</v>
      </c>
      <c r="G59" s="172"/>
      <c r="H59" s="173"/>
      <c r="I59" s="47">
        <f>Q59</f>
        <v>3</v>
      </c>
      <c r="J59" s="47">
        <f>R59</f>
        <v>0</v>
      </c>
      <c r="K59" s="32" t="str">
        <f>calc1!BX74</f>
        <v>DOFEK David (KST Vyškov)</v>
      </c>
      <c r="L59" s="170">
        <f>calc1!BZ74</f>
        <v>3</v>
      </c>
      <c r="M59" s="170">
        <f>calc1!CB74</f>
        <v>0</v>
      </c>
      <c r="N59" s="170" t="str">
        <f>calc1!CF74</f>
        <v>9:0</v>
      </c>
      <c r="O59" s="170">
        <f>calc1!CE74</f>
        <v>6</v>
      </c>
      <c r="Q59" s="32">
        <f>IF(C59="bye",3,S59)</f>
        <v>3</v>
      </c>
      <c r="R59" s="32">
        <f>IF(C59="bye",0,T59)</f>
        <v>0</v>
      </c>
      <c r="S59" s="112">
        <f>IF(D59="","",((IF(D59&gt;0,1,0)+IF(E59&gt;0,1,0)+IF(F59&gt;0,1,0)+IF(G59&gt;0,1,0)+IF(H59&gt;0,1,0))))</f>
        <v>3</v>
      </c>
      <c r="T59" s="112">
        <f>IF(D59="","",IF(D59&gt;0,0,1)+IF(E59="",0,IF(E59&gt;0,0,1))+IF(F59="",0,IF(F59&gt;0,0,1))+IF(G59="",0,IF(G59&gt;0,0,1))+IF(H59="",0,IF(H59&gt;0,0,1)))</f>
        <v>0</v>
      </c>
    </row>
    <row r="60" spans="1:20" x14ac:dyDescent="0.2">
      <c r="A60" s="38" t="s">
        <v>616</v>
      </c>
      <c r="B60" s="32" t="str">
        <f>'1-los'!G19</f>
        <v>PILITOWSKÁ Lea (KST Blansko)</v>
      </c>
      <c r="C60" s="39" t="str">
        <f>'1-los'!G20</f>
        <v>PAŘÍZEK Richard (SKST Hodonín)</v>
      </c>
      <c r="D60" s="172">
        <v>-8</v>
      </c>
      <c r="E60" s="172">
        <v>-8</v>
      </c>
      <c r="F60" s="172">
        <v>-4</v>
      </c>
      <c r="G60" s="172"/>
      <c r="H60" s="173"/>
      <c r="I60" s="47">
        <f>IF(D60="","",((IF(D60&gt;0,1,0)+IF(E60&gt;0,1,0)+IF(F60&gt;0,1,0)+IF(G60&gt;0,1,0)+IF(H60&gt;0,1,0))))</f>
        <v>0</v>
      </c>
      <c r="J60" s="47">
        <f>IF(D60="","",IF(D60&gt;0,0,1)+IF(E60="",0,IF(E60&gt;0,0,1))+IF(F60="",0,IF(F60&gt;0,0,1))+IF(G60="",0,IF(G60&gt;0,0,1))+IF(H60="",0,IF(H60&gt;0,0,1)))</f>
        <v>3</v>
      </c>
      <c r="K60" s="32" t="str">
        <f>calc1!BX75</f>
        <v>PAŘÍZEK Richard (SKST Hodonín)</v>
      </c>
      <c r="L60" s="170">
        <f>calc1!BZ75</f>
        <v>2</v>
      </c>
      <c r="M60" s="170">
        <f>calc1!CB75</f>
        <v>1</v>
      </c>
      <c r="N60" s="170" t="str">
        <f>calc1!CF75</f>
        <v>6:3</v>
      </c>
      <c r="O60" s="170">
        <f>calc1!CE75</f>
        <v>4</v>
      </c>
    </row>
    <row r="61" spans="1:20" x14ac:dyDescent="0.2">
      <c r="A61" s="38" t="s">
        <v>618</v>
      </c>
      <c r="B61" s="32" t="str">
        <f>C59</f>
        <v>ŠIMEČEK Robin (TTC MS Brno)</v>
      </c>
      <c r="C61" s="39" t="str">
        <f>B60</f>
        <v>PILITOWSKÁ Lea (KST Blansko)</v>
      </c>
      <c r="D61" s="172">
        <v>-8</v>
      </c>
      <c r="E61" s="172">
        <v>-5</v>
      </c>
      <c r="F61" s="172">
        <v>-7</v>
      </c>
      <c r="G61" s="172"/>
      <c r="H61" s="173"/>
      <c r="I61" s="47">
        <f>Q61</f>
        <v>0</v>
      </c>
      <c r="J61" s="47">
        <f>R61</f>
        <v>3</v>
      </c>
      <c r="K61" s="32" t="str">
        <f>calc1!BX76</f>
        <v>PILITOWSKÁ Lea (KST Blansko)</v>
      </c>
      <c r="L61" s="170">
        <f>calc1!BZ76</f>
        <v>1</v>
      </c>
      <c r="M61" s="170">
        <f>calc1!CB76</f>
        <v>2</v>
      </c>
      <c r="N61" s="170" t="str">
        <f>calc1!CF76</f>
        <v>3:6</v>
      </c>
      <c r="O61" s="170">
        <f>calc1!CE76</f>
        <v>2</v>
      </c>
      <c r="Q61" s="32">
        <f>IF(B61="bye",0,S61)</f>
        <v>0</v>
      </c>
      <c r="R61" s="32">
        <f>IF(B61="bye",3,T61)</f>
        <v>3</v>
      </c>
      <c r="S61" s="112">
        <f>IF(D61="","",((IF(D61&gt;0,1,0)+IF(E61&gt;0,1,0)+IF(F61&gt;0,1,0)+IF(G61&gt;0,1,0)+IF(H61&gt;0,1,0))))</f>
        <v>0</v>
      </c>
      <c r="T61" s="112">
        <f>IF(D61="","",IF(D61&gt;0,0,1)+IF(E61="",0,IF(E61&gt;0,0,1))+IF(F61="",0,IF(F61&gt;0,0,1))+IF(G61="",0,IF(G61&gt;0,0,1))+IF(H61="",0,IF(H61&gt;0,0,1)))</f>
        <v>3</v>
      </c>
    </row>
    <row r="62" spans="1:20" x14ac:dyDescent="0.2">
      <c r="A62" s="38" t="s">
        <v>620</v>
      </c>
      <c r="B62" s="32" t="str">
        <f>C60</f>
        <v>PAŘÍZEK Richard (SKST Hodonín)</v>
      </c>
      <c r="C62" s="39" t="str">
        <f>B59</f>
        <v>DOFEK David (KST Vyškov)</v>
      </c>
      <c r="D62" s="172">
        <v>-7</v>
      </c>
      <c r="E62" s="172">
        <v>-4</v>
      </c>
      <c r="F62" s="172">
        <v>-10</v>
      </c>
      <c r="G62" s="172"/>
      <c r="H62" s="173"/>
      <c r="I62" s="47">
        <f>IF(D62="","",((IF(D62&gt;0,1,0)+IF(E62&gt;0,1,0)+IF(F62&gt;0,1,0)+IF(G62&gt;0,1,0)+IF(H62&gt;0,1,0))))</f>
        <v>0</v>
      </c>
      <c r="J62" s="47">
        <f>IF(D62="","",IF(D62&gt;0,0,1)+IF(E62="",0,IF(E62&gt;0,0,1))+IF(F62="",0,IF(F62&gt;0,0,1))+IF(G62="",0,IF(G62&gt;0,0,1))+IF(H62="",0,IF(H62&gt;0,0,1)))</f>
        <v>3</v>
      </c>
      <c r="K62" s="32" t="str">
        <f>calc1!BX77</f>
        <v>ŠIMEČEK Robin (TTC MS Brno)</v>
      </c>
      <c r="L62" s="170">
        <f>calc1!BZ77</f>
        <v>0</v>
      </c>
      <c r="M62" s="170">
        <f>calc1!CB77</f>
        <v>3</v>
      </c>
      <c r="N62" s="170" t="str">
        <f>calc1!CF77</f>
        <v>0:9</v>
      </c>
      <c r="O62" s="170">
        <f>calc1!CE77</f>
        <v>0</v>
      </c>
    </row>
    <row r="63" spans="1:20" x14ac:dyDescent="0.2">
      <c r="A63" s="38" t="s">
        <v>667</v>
      </c>
      <c r="B63" s="32" t="str">
        <f>C60</f>
        <v>PAŘÍZEK Richard (SKST Hodonín)</v>
      </c>
      <c r="C63" s="39" t="str">
        <f>C59</f>
        <v>ŠIMEČEK Robin (TTC MS Brno)</v>
      </c>
      <c r="D63" s="172">
        <v>2</v>
      </c>
      <c r="E63" s="172">
        <v>5</v>
      </c>
      <c r="F63" s="172">
        <v>1</v>
      </c>
      <c r="G63" s="172"/>
      <c r="H63" s="173"/>
      <c r="I63" s="47">
        <f>Q63</f>
        <v>3</v>
      </c>
      <c r="J63" s="47">
        <f>R63</f>
        <v>0</v>
      </c>
      <c r="K63" s="390"/>
      <c r="L63" s="391"/>
      <c r="M63" s="391"/>
      <c r="N63" s="391"/>
      <c r="O63" s="391"/>
      <c r="Q63" s="32">
        <f>IF(C63="bye",3,S63)</f>
        <v>3</v>
      </c>
      <c r="R63" s="32">
        <f>IF(C63="bye",0,T63)</f>
        <v>0</v>
      </c>
      <c r="S63" s="112">
        <f>IF(D63="","",((IF(D63&gt;0,1,0)+IF(E63&gt;0,1,0)+IF(F63&gt;0,1,0)+IF(G63&gt;0,1,0)+IF(H63&gt;0,1,0))))</f>
        <v>3</v>
      </c>
      <c r="T63" s="112">
        <f>IF(D63="","",IF(D63&gt;0,0,1)+IF(E63="",0,IF(E63&gt;0,0,1))+IF(F63="",0,IF(F63&gt;0,0,1))+IF(G63="",0,IF(G63&gt;0,0,1))+IF(H63="",0,IF(H63&gt;0,0,1)))</f>
        <v>0</v>
      </c>
    </row>
    <row r="64" spans="1:20" x14ac:dyDescent="0.2">
      <c r="A64" s="38" t="s">
        <v>668</v>
      </c>
      <c r="B64" s="32" t="str">
        <f>B59</f>
        <v>DOFEK David (KST Vyškov)</v>
      </c>
      <c r="C64" s="39" t="str">
        <f>B60</f>
        <v>PILITOWSKÁ Lea (KST Blansko)</v>
      </c>
      <c r="D64" s="172">
        <v>8</v>
      </c>
      <c r="E64" s="172">
        <v>9</v>
      </c>
      <c r="F64" s="172">
        <v>4</v>
      </c>
      <c r="G64" s="172"/>
      <c r="H64" s="173"/>
      <c r="I64" s="47">
        <f>IF(D64="","",((IF(D64&gt;0,1,0)+IF(E64&gt;0,1,0)+IF(F64&gt;0,1,0)+IF(G64&gt;0,1,0)+IF(H64&gt;0,1,0))))</f>
        <v>3</v>
      </c>
      <c r="J64" s="47">
        <f>IF(D64="","",IF(D64&gt;0,0,1)+IF(E64="",0,IF(E64&gt;0,0,1))+IF(F64="",0,IF(F64&gt;0,0,1))+IF(G64="",0,IF(G64&gt;0,0,1))+IF(H64="",0,IF(H64&gt;0,0,1)))</f>
        <v>0</v>
      </c>
      <c r="K64" s="390"/>
      <c r="L64" s="391"/>
      <c r="M64" s="391"/>
      <c r="N64" s="391"/>
      <c r="O64" s="391"/>
    </row>
    <row r="65" spans="1:20" x14ac:dyDescent="0.2">
      <c r="A65" s="50" t="str">
        <f>'1-los'!D22</f>
        <v>skupina B3</v>
      </c>
      <c r="B65" s="167"/>
      <c r="C65" s="31"/>
      <c r="D65" s="31"/>
      <c r="E65" s="31"/>
      <c r="F65" s="31"/>
      <c r="G65" s="31"/>
      <c r="H65" s="31"/>
      <c r="I65" s="31"/>
      <c r="J65" s="31"/>
      <c r="K65" s="171" t="str">
        <f>A65</f>
        <v>skupina B3</v>
      </c>
      <c r="L65" s="168"/>
      <c r="M65" s="168"/>
      <c r="N65" s="168"/>
      <c r="O65" s="168"/>
    </row>
    <row r="66" spans="1:20" x14ac:dyDescent="0.2">
      <c r="A66" s="34" t="s">
        <v>159</v>
      </c>
      <c r="B66" s="33" t="s">
        <v>61</v>
      </c>
      <c r="C66" s="35" t="s">
        <v>62</v>
      </c>
      <c r="D66" s="35"/>
      <c r="E66" s="35"/>
      <c r="F66" s="35"/>
      <c r="G66" s="35"/>
      <c r="H66" s="35"/>
      <c r="I66" s="33"/>
      <c r="J66" s="33"/>
      <c r="K66" s="36" t="s">
        <v>63</v>
      </c>
      <c r="L66" s="169" t="s">
        <v>64</v>
      </c>
      <c r="M66" s="169" t="s">
        <v>65</v>
      </c>
      <c r="N66" s="169" t="s">
        <v>66</v>
      </c>
      <c r="O66" s="169" t="s">
        <v>57</v>
      </c>
    </row>
    <row r="67" spans="1:20" x14ac:dyDescent="0.2">
      <c r="A67" s="38" t="s">
        <v>558</v>
      </c>
      <c r="B67" s="32" t="str">
        <f>'1-los'!E23</f>
        <v/>
      </c>
      <c r="C67" s="39" t="str">
        <f>'1-los'!E26</f>
        <v/>
      </c>
      <c r="D67" s="172"/>
      <c r="E67" s="172"/>
      <c r="F67" s="172"/>
      <c r="G67" s="172"/>
      <c r="H67" s="173"/>
      <c r="I67" s="47" t="str">
        <f>Q67</f>
        <v/>
      </c>
      <c r="J67" s="47" t="str">
        <f>R67</f>
        <v/>
      </c>
      <c r="K67" s="32" t="str">
        <f>calc1!BX84</f>
        <v/>
      </c>
      <c r="L67" s="170">
        <f>calc1!BZ84</f>
        <v>0</v>
      </c>
      <c r="M67" s="170">
        <f>calc1!CB84</f>
        <v>0</v>
      </c>
      <c r="N67" s="170" t="str">
        <f>calc1!CF84</f>
        <v>0:0</v>
      </c>
      <c r="O67" s="170">
        <f>calc1!CE84</f>
        <v>0</v>
      </c>
      <c r="Q67" s="32" t="str">
        <f>IF(C67="bye",3,S67)</f>
        <v/>
      </c>
      <c r="R67" s="32" t="str">
        <f>IF(C67="bye",0,T67)</f>
        <v/>
      </c>
      <c r="S67" s="112" t="str">
        <f>IF(D67="","",((IF(D67&gt;0,1,0)+IF(E67&gt;0,1,0)+IF(F67&gt;0,1,0)+IF(G67&gt;0,1,0)+IF(H67&gt;0,1,0))))</f>
        <v/>
      </c>
      <c r="T67" s="112" t="str">
        <f>IF(D67="","",IF(D67&gt;0,0,1)+IF(E67="",0,IF(E67&gt;0,0,1))+IF(F67="",0,IF(F67&gt;0,0,1))+IF(G67="",0,IF(G67&gt;0,0,1))+IF(H67="",0,IF(H67&gt;0,0,1)))</f>
        <v/>
      </c>
    </row>
    <row r="68" spans="1:20" x14ac:dyDescent="0.2">
      <c r="A68" s="38" t="s">
        <v>559</v>
      </c>
      <c r="B68" s="32" t="str">
        <f>'1-los'!E24</f>
        <v/>
      </c>
      <c r="C68" s="39" t="str">
        <f>'1-los'!E25</f>
        <v/>
      </c>
      <c r="D68" s="172"/>
      <c r="E68" s="172"/>
      <c r="F68" s="172"/>
      <c r="G68" s="172"/>
      <c r="H68" s="173"/>
      <c r="I68" s="47" t="str">
        <f>IF(D68="","",((IF(D68&gt;0,1,0)+IF(E68&gt;0,1,0)+IF(F68&gt;0,1,0)+IF(G68&gt;0,1,0)+IF(H68&gt;0,1,0))))</f>
        <v/>
      </c>
      <c r="J68" s="47" t="str">
        <f>IF(D68="","",IF(D68&gt;0,0,1)+IF(E68="",0,IF(E68&gt;0,0,1))+IF(F68="",0,IF(F68&gt;0,0,1))+IF(G68="",0,IF(G68&gt;0,0,1))+IF(H68="",0,IF(H68&gt;0,0,1)))</f>
        <v/>
      </c>
      <c r="K68" s="32" t="str">
        <f>calc1!BX85</f>
        <v/>
      </c>
      <c r="L68" s="170">
        <f>calc1!BZ85</f>
        <v>0</v>
      </c>
      <c r="M68" s="170">
        <f>calc1!CB85</f>
        <v>0</v>
      </c>
      <c r="N68" s="170" t="str">
        <f>calc1!CF85</f>
        <v>0:0</v>
      </c>
      <c r="O68" s="170">
        <f>calc1!CE85</f>
        <v>0</v>
      </c>
    </row>
    <row r="69" spans="1:20" x14ac:dyDescent="0.2">
      <c r="A69" s="38" t="s">
        <v>560</v>
      </c>
      <c r="B69" s="32" t="str">
        <f>C67</f>
        <v/>
      </c>
      <c r="C69" s="39" t="str">
        <f>B68</f>
        <v/>
      </c>
      <c r="D69" s="172"/>
      <c r="E69" s="172"/>
      <c r="F69" s="172"/>
      <c r="G69" s="172"/>
      <c r="H69" s="173"/>
      <c r="I69" s="47" t="str">
        <f>Q69</f>
        <v/>
      </c>
      <c r="J69" s="47" t="str">
        <f>R69</f>
        <v/>
      </c>
      <c r="K69" s="32" t="str">
        <f>calc1!BX86</f>
        <v/>
      </c>
      <c r="L69" s="170">
        <f>calc1!BZ86</f>
        <v>0</v>
      </c>
      <c r="M69" s="170">
        <f>calc1!CB86</f>
        <v>0</v>
      </c>
      <c r="N69" s="170" t="str">
        <f>calc1!CF86</f>
        <v>0:0</v>
      </c>
      <c r="O69" s="170">
        <f>calc1!CE86</f>
        <v>0</v>
      </c>
      <c r="Q69" s="32" t="str">
        <f>IF(B69="bye",0,S69)</f>
        <v/>
      </c>
      <c r="R69" s="32" t="str">
        <f>IF(B69="bye",3,T69)</f>
        <v/>
      </c>
      <c r="S69" s="112" t="str">
        <f>IF(D69="","",((IF(D69&gt;0,1,0)+IF(E69&gt;0,1,0)+IF(F69&gt;0,1,0)+IF(G69&gt;0,1,0)+IF(H69&gt;0,1,0))))</f>
        <v/>
      </c>
      <c r="T69" s="112" t="str">
        <f>IF(D69="","",IF(D69&gt;0,0,1)+IF(E69="",0,IF(E69&gt;0,0,1))+IF(F69="",0,IF(F69&gt;0,0,1))+IF(G69="",0,IF(G69&gt;0,0,1))+IF(H69="",0,IF(H69&gt;0,0,1)))</f>
        <v/>
      </c>
    </row>
    <row r="70" spans="1:20" x14ac:dyDescent="0.2">
      <c r="A70" s="38" t="s">
        <v>561</v>
      </c>
      <c r="B70" s="32" t="str">
        <f>C68</f>
        <v/>
      </c>
      <c r="C70" s="39" t="str">
        <f>B67</f>
        <v/>
      </c>
      <c r="D70" s="172"/>
      <c r="E70" s="172"/>
      <c r="F70" s="172"/>
      <c r="G70" s="172"/>
      <c r="H70" s="173"/>
      <c r="I70" s="47" t="str">
        <f>IF(D70="","",((IF(D70&gt;0,1,0)+IF(E70&gt;0,1,0)+IF(F70&gt;0,1,0)+IF(G70&gt;0,1,0)+IF(H70&gt;0,1,0))))</f>
        <v/>
      </c>
      <c r="J70" s="47" t="str">
        <f>IF(D70="","",IF(D70&gt;0,0,1)+IF(E70="",0,IF(E70&gt;0,0,1))+IF(F70="",0,IF(F70&gt;0,0,1))+IF(G70="",0,IF(G70&gt;0,0,1))+IF(H70="",0,IF(H70&gt;0,0,1)))</f>
        <v/>
      </c>
      <c r="K70" s="32" t="str">
        <f>calc1!BX87</f>
        <v/>
      </c>
      <c r="L70" s="170">
        <f>calc1!BZ87</f>
        <v>0</v>
      </c>
      <c r="M70" s="170">
        <f>calc1!CB87</f>
        <v>0</v>
      </c>
      <c r="N70" s="170" t="str">
        <f>calc1!CF87</f>
        <v>0:0</v>
      </c>
      <c r="O70" s="170">
        <f>calc1!CE87</f>
        <v>0</v>
      </c>
    </row>
    <row r="71" spans="1:20" x14ac:dyDescent="0.2">
      <c r="A71" s="38" t="s">
        <v>562</v>
      </c>
      <c r="B71" s="32" t="str">
        <f>C68</f>
        <v/>
      </c>
      <c r="C71" s="39" t="str">
        <f>C67</f>
        <v/>
      </c>
      <c r="D71" s="172"/>
      <c r="E71" s="172"/>
      <c r="F71" s="172"/>
      <c r="G71" s="172"/>
      <c r="H71" s="173"/>
      <c r="I71" s="47" t="str">
        <f>Q71</f>
        <v/>
      </c>
      <c r="J71" s="47" t="str">
        <f>R71</f>
        <v/>
      </c>
      <c r="K71" s="390"/>
      <c r="L71" s="391"/>
      <c r="M71" s="391"/>
      <c r="N71" s="391"/>
      <c r="O71" s="391"/>
      <c r="Q71" s="32" t="str">
        <f>IF(C71="bye",3,S71)</f>
        <v/>
      </c>
      <c r="R71" s="32" t="str">
        <f>IF(C71="bye",0,T71)</f>
        <v/>
      </c>
      <c r="S71" s="112" t="str">
        <f>IF(D71="","",((IF(D71&gt;0,1,0)+IF(E71&gt;0,1,0)+IF(F71&gt;0,1,0)+IF(G71&gt;0,1,0)+IF(H71&gt;0,1,0))))</f>
        <v/>
      </c>
      <c r="T71" s="112" t="str">
        <f>IF(D71="","",IF(D71&gt;0,0,1)+IF(E71="",0,IF(E71&gt;0,0,1))+IF(F71="",0,IF(F71&gt;0,0,1))+IF(G71="",0,IF(G71&gt;0,0,1))+IF(H71="",0,IF(H71&gt;0,0,1)))</f>
        <v/>
      </c>
    </row>
    <row r="72" spans="1:20" x14ac:dyDescent="0.2">
      <c r="A72" s="38" t="s">
        <v>563</v>
      </c>
      <c r="B72" s="32" t="str">
        <f>B67</f>
        <v/>
      </c>
      <c r="C72" s="39" t="str">
        <f>B68</f>
        <v/>
      </c>
      <c r="D72" s="172"/>
      <c r="E72" s="172"/>
      <c r="F72" s="172"/>
      <c r="G72" s="172"/>
      <c r="H72" s="173"/>
      <c r="I72" s="47" t="str">
        <f>IF(D72="","",((IF(D72&gt;0,1,0)+IF(E72&gt;0,1,0)+IF(F72&gt;0,1,0)+IF(G72&gt;0,1,0)+IF(H72&gt;0,1,0))))</f>
        <v/>
      </c>
      <c r="J72" s="47" t="str">
        <f>IF(D72="","",IF(D72&gt;0,0,1)+IF(E72="",0,IF(E72&gt;0,0,1))+IF(F72="",0,IF(F72&gt;0,0,1))+IF(G72="",0,IF(G72&gt;0,0,1))+IF(H72="",0,IF(H72&gt;0,0,1)))</f>
        <v/>
      </c>
      <c r="K72" s="390"/>
      <c r="L72" s="391"/>
      <c r="M72" s="391"/>
      <c r="N72" s="391"/>
      <c r="O72" s="391"/>
    </row>
    <row r="73" spans="1:20" x14ac:dyDescent="0.2">
      <c r="A73" s="50" t="str">
        <f>'1-los'!F22</f>
        <v>skupina B4</v>
      </c>
      <c r="B73" s="167"/>
      <c r="C73" s="31"/>
      <c r="D73" s="31"/>
      <c r="E73" s="31"/>
      <c r="F73" s="31"/>
      <c r="G73" s="31"/>
      <c r="H73" s="31"/>
      <c r="I73" s="31"/>
      <c r="J73" s="31"/>
      <c r="K73" s="171" t="str">
        <f>A73</f>
        <v>skupina B4</v>
      </c>
      <c r="L73" s="168"/>
      <c r="M73" s="168"/>
      <c r="N73" s="168"/>
      <c r="O73" s="168"/>
    </row>
    <row r="74" spans="1:20" x14ac:dyDescent="0.2">
      <c r="A74" s="34" t="s">
        <v>159</v>
      </c>
      <c r="B74" s="33" t="s">
        <v>61</v>
      </c>
      <c r="C74" s="35" t="s">
        <v>62</v>
      </c>
      <c r="D74" s="35"/>
      <c r="E74" s="35"/>
      <c r="F74" s="35"/>
      <c r="G74" s="35"/>
      <c r="H74" s="35"/>
      <c r="I74" s="33"/>
      <c r="J74" s="33"/>
      <c r="K74" s="36" t="s">
        <v>63</v>
      </c>
      <c r="L74" s="169" t="s">
        <v>64</v>
      </c>
      <c r="M74" s="169" t="s">
        <v>65</v>
      </c>
      <c r="N74" s="169" t="s">
        <v>66</v>
      </c>
      <c r="O74" s="169" t="s">
        <v>57</v>
      </c>
    </row>
    <row r="75" spans="1:20" x14ac:dyDescent="0.2">
      <c r="A75" s="38" t="s">
        <v>564</v>
      </c>
      <c r="B75" s="32" t="str">
        <f>'1-los'!G23</f>
        <v/>
      </c>
      <c r="C75" s="39" t="str">
        <f>'1-los'!G26</f>
        <v/>
      </c>
      <c r="D75" s="172"/>
      <c r="E75" s="172"/>
      <c r="F75" s="172"/>
      <c r="G75" s="172"/>
      <c r="H75" s="173"/>
      <c r="I75" s="47" t="str">
        <f>Q75</f>
        <v/>
      </c>
      <c r="J75" s="47" t="str">
        <f>R75</f>
        <v/>
      </c>
      <c r="K75" s="32">
        <f>calc1!BI4</f>
        <v>4</v>
      </c>
      <c r="L75" s="170">
        <f>calc1!BZ94</f>
        <v>0</v>
      </c>
      <c r="M75" s="170">
        <f>calc1!CB94</f>
        <v>0</v>
      </c>
      <c r="N75" s="170" t="str">
        <f>calc1!CF94</f>
        <v>0:0</v>
      </c>
      <c r="O75" s="170">
        <f>calc1!CE94</f>
        <v>0</v>
      </c>
      <c r="Q75" s="32" t="str">
        <f>IF(C75="bye",3,S75)</f>
        <v/>
      </c>
      <c r="R75" s="32" t="str">
        <f>IF(C75="bye",0,T75)</f>
        <v/>
      </c>
      <c r="S75" s="112" t="str">
        <f>IF(D75="","",((IF(D75&gt;0,1,0)+IF(E75&gt;0,1,0)+IF(F75&gt;0,1,0)+IF(G75&gt;0,1,0)+IF(H75&gt;0,1,0))))</f>
        <v/>
      </c>
      <c r="T75" s="112" t="str">
        <f>IF(D75="","",IF(D75&gt;0,0,1)+IF(E75="",0,IF(E75&gt;0,0,1))+IF(F75="",0,IF(F75&gt;0,0,1))+IF(G75="",0,IF(G75&gt;0,0,1))+IF(H75="",0,IF(H75&gt;0,0,1)))</f>
        <v/>
      </c>
    </row>
    <row r="76" spans="1:20" x14ac:dyDescent="0.2">
      <c r="A76" s="38" t="s">
        <v>565</v>
      </c>
      <c r="B76" s="32" t="str">
        <f>'1-los'!G24</f>
        <v/>
      </c>
      <c r="C76" s="39" t="str">
        <f>'1-los'!G25</f>
        <v/>
      </c>
      <c r="D76" s="172"/>
      <c r="E76" s="172"/>
      <c r="F76" s="172"/>
      <c r="G76" s="172"/>
      <c r="H76" s="173"/>
      <c r="I76" s="47" t="str">
        <f>IF(D76="","",((IF(D76&gt;0,1,0)+IF(E76&gt;0,1,0)+IF(F76&gt;0,1,0)+IF(G76&gt;0,1,0)+IF(H76&gt;0,1,0))))</f>
        <v/>
      </c>
      <c r="J76" s="47" t="str">
        <f>IF(D76="","",IF(D76&gt;0,0,1)+IF(E76="",0,IF(E76&gt;0,0,1))+IF(F76="",0,IF(F76&gt;0,0,1))+IF(G76="",0,IF(G76&gt;0,0,1))+IF(H76="",0,IF(H76&gt;0,0,1)))</f>
        <v/>
      </c>
      <c r="K76" s="32">
        <f>calc1!BI5</f>
        <v>2</v>
      </c>
      <c r="L76" s="170">
        <f>calc1!BZ95</f>
        <v>0</v>
      </c>
      <c r="M76" s="170">
        <f>calc1!CB95</f>
        <v>0</v>
      </c>
      <c r="N76" s="170" t="str">
        <f>calc1!CF95</f>
        <v>0:0</v>
      </c>
      <c r="O76" s="170">
        <f>calc1!CE95</f>
        <v>0</v>
      </c>
    </row>
    <row r="77" spans="1:20" x14ac:dyDescent="0.2">
      <c r="A77" s="38" t="s">
        <v>566</v>
      </c>
      <c r="B77" s="32" t="str">
        <f>C75</f>
        <v/>
      </c>
      <c r="C77" s="39" t="str">
        <f>B76</f>
        <v/>
      </c>
      <c r="D77" s="172"/>
      <c r="E77" s="172"/>
      <c r="F77" s="172"/>
      <c r="G77" s="172"/>
      <c r="H77" s="173"/>
      <c r="I77" s="47" t="str">
        <f>Q77</f>
        <v/>
      </c>
      <c r="J77" s="47" t="str">
        <f>R77</f>
        <v/>
      </c>
      <c r="K77" s="32">
        <f>calc1!BI6</f>
        <v>0</v>
      </c>
      <c r="L77" s="170">
        <f>calc1!BZ96</f>
        <v>0</v>
      </c>
      <c r="M77" s="170">
        <f>calc1!CB96</f>
        <v>0</v>
      </c>
      <c r="N77" s="170" t="str">
        <f>calc1!CF96</f>
        <v>0:0</v>
      </c>
      <c r="O77" s="170">
        <f>calc1!CE96</f>
        <v>0</v>
      </c>
      <c r="Q77" s="32" t="str">
        <f>IF(B77="bye",0,S77)</f>
        <v/>
      </c>
      <c r="R77" s="32" t="str">
        <f>IF(B77="bye",3,T77)</f>
        <v/>
      </c>
      <c r="S77" s="112" t="str">
        <f>IF(D77="","",((IF(D77&gt;0,1,0)+IF(E77&gt;0,1,0)+IF(F77&gt;0,1,0)+IF(G77&gt;0,1,0)+IF(H77&gt;0,1,0))))</f>
        <v/>
      </c>
      <c r="T77" s="112" t="str">
        <f>IF(D77="","",IF(D77&gt;0,0,1)+IF(E77="",0,IF(E77&gt;0,0,1))+IF(F77="",0,IF(F77&gt;0,0,1))+IF(G77="",0,IF(G77&gt;0,0,1))+IF(H77="",0,IF(H77&gt;0,0,1)))</f>
        <v/>
      </c>
    </row>
    <row r="78" spans="1:20" x14ac:dyDescent="0.2">
      <c r="A78" s="38" t="s">
        <v>567</v>
      </c>
      <c r="B78" s="32" t="str">
        <f>C76</f>
        <v/>
      </c>
      <c r="C78" s="39" t="str">
        <f>B75</f>
        <v/>
      </c>
      <c r="D78" s="172"/>
      <c r="E78" s="172"/>
      <c r="F78" s="172"/>
      <c r="G78" s="172"/>
      <c r="H78" s="173"/>
      <c r="I78" s="47" t="str">
        <f>IF(D78="","",((IF(D78&gt;0,1,0)+IF(E78&gt;0,1,0)+IF(F78&gt;0,1,0)+IF(G78&gt;0,1,0)+IF(H78&gt;0,1,0))))</f>
        <v/>
      </c>
      <c r="J78" s="47" t="str">
        <f>IF(D78="","",IF(D78&gt;0,0,1)+IF(E78="",0,IF(E78&gt;0,0,1))+IF(F78="",0,IF(F78&gt;0,0,1))+IF(G78="",0,IF(G78&gt;0,0,1))+IF(H78="",0,IF(H78&gt;0,0,1)))</f>
        <v/>
      </c>
      <c r="K78" s="32">
        <f>calc1!BI7</f>
        <v>0</v>
      </c>
      <c r="L78" s="170">
        <f>calc1!BZ97</f>
        <v>0</v>
      </c>
      <c r="M78" s="170">
        <f>calc1!CB97</f>
        <v>0</v>
      </c>
      <c r="N78" s="170" t="str">
        <f>calc1!CF97</f>
        <v>0:0</v>
      </c>
      <c r="O78" s="170">
        <f>calc1!CE97</f>
        <v>0</v>
      </c>
    </row>
    <row r="79" spans="1:20" x14ac:dyDescent="0.2">
      <c r="A79" s="38" t="s">
        <v>568</v>
      </c>
      <c r="B79" s="32" t="str">
        <f>C76</f>
        <v/>
      </c>
      <c r="C79" s="39" t="str">
        <f>C75</f>
        <v/>
      </c>
      <c r="D79" s="172"/>
      <c r="E79" s="172"/>
      <c r="F79" s="172"/>
      <c r="G79" s="172"/>
      <c r="H79" s="173"/>
      <c r="I79" s="47" t="str">
        <f>Q79</f>
        <v/>
      </c>
      <c r="J79" s="47" t="str">
        <f>R79</f>
        <v/>
      </c>
      <c r="K79" s="390"/>
      <c r="L79" s="391"/>
      <c r="M79" s="391"/>
      <c r="N79" s="391"/>
      <c r="O79" s="391"/>
      <c r="Q79" s="32" t="str">
        <f>IF(C79="bye",3,S79)</f>
        <v/>
      </c>
      <c r="R79" s="32" t="str">
        <f>IF(C79="bye",0,T79)</f>
        <v/>
      </c>
      <c r="S79" s="112" t="str">
        <f>IF(D79="","",((IF(D79&gt;0,1,0)+IF(E79&gt;0,1,0)+IF(F79&gt;0,1,0)+IF(G79&gt;0,1,0)+IF(H79&gt;0,1,0))))</f>
        <v/>
      </c>
      <c r="T79" s="112" t="str">
        <f>IF(D79="","",IF(D79&gt;0,0,1)+IF(E79="",0,IF(E79&gt;0,0,1))+IF(F79="",0,IF(F79&gt;0,0,1))+IF(G79="",0,IF(G79&gt;0,0,1))+IF(H79="",0,IF(H79&gt;0,0,1)))</f>
        <v/>
      </c>
    </row>
    <row r="80" spans="1:20" x14ac:dyDescent="0.2">
      <c r="A80" s="38" t="s">
        <v>569</v>
      </c>
      <c r="B80" s="32" t="str">
        <f>B75</f>
        <v/>
      </c>
      <c r="C80" s="39" t="str">
        <f>B76</f>
        <v/>
      </c>
      <c r="D80" s="172"/>
      <c r="E80" s="172"/>
      <c r="F80" s="172"/>
      <c r="G80" s="172"/>
      <c r="H80" s="173"/>
      <c r="I80" s="47" t="str">
        <f>IF(D80="","",((IF(D80&gt;0,1,0)+IF(E80&gt;0,1,0)+IF(F80&gt;0,1,0)+IF(G80&gt;0,1,0)+IF(H80&gt;0,1,0))))</f>
        <v/>
      </c>
      <c r="J80" s="47" t="str">
        <f>IF(D80="","",IF(D80&gt;0,0,1)+IF(E80="",0,IF(E80&gt;0,0,1))+IF(F80="",0,IF(F80&gt;0,0,1))+IF(G80="",0,IF(G80&gt;0,0,1))+IF(H80="",0,IF(H80&gt;0,0,1)))</f>
        <v/>
      </c>
      <c r="K80" s="390"/>
      <c r="L80" s="391"/>
      <c r="M80" s="391"/>
      <c r="N80" s="391"/>
      <c r="O80" s="391"/>
    </row>
    <row r="81" spans="1:20" x14ac:dyDescent="0.2">
      <c r="A81" s="50" t="str">
        <f>'1-los'!D27</f>
        <v>skupina B5</v>
      </c>
      <c r="B81" s="167"/>
      <c r="C81" s="31"/>
      <c r="D81" s="31"/>
      <c r="E81" s="31"/>
      <c r="F81" s="31"/>
      <c r="G81" s="31"/>
      <c r="H81" s="31"/>
      <c r="I81" s="31"/>
      <c r="J81" s="31"/>
      <c r="K81" s="171" t="str">
        <f>A81</f>
        <v>skupina B5</v>
      </c>
      <c r="L81" s="168"/>
      <c r="M81" s="168"/>
      <c r="N81" s="168"/>
      <c r="O81" s="168"/>
    </row>
    <row r="82" spans="1:20" x14ac:dyDescent="0.2">
      <c r="A82" s="34" t="s">
        <v>159</v>
      </c>
      <c r="B82" s="33" t="s">
        <v>61</v>
      </c>
      <c r="C82" s="35" t="s">
        <v>62</v>
      </c>
      <c r="D82" s="35"/>
      <c r="E82" s="35"/>
      <c r="F82" s="35"/>
      <c r="G82" s="35"/>
      <c r="H82" s="35"/>
      <c r="I82" s="33"/>
      <c r="J82" s="33"/>
      <c r="K82" s="36" t="s">
        <v>63</v>
      </c>
      <c r="L82" s="169" t="s">
        <v>64</v>
      </c>
      <c r="M82" s="169" t="s">
        <v>65</v>
      </c>
      <c r="N82" s="169" t="s">
        <v>66</v>
      </c>
      <c r="O82" s="169" t="s">
        <v>57</v>
      </c>
    </row>
    <row r="83" spans="1:20" x14ac:dyDescent="0.2">
      <c r="A83" s="38" t="s">
        <v>570</v>
      </c>
      <c r="B83" s="32" t="str">
        <f>'1-los'!E28</f>
        <v/>
      </c>
      <c r="C83" s="39" t="str">
        <f>'1-los'!E31</f>
        <v/>
      </c>
      <c r="D83" s="172"/>
      <c r="E83" s="172"/>
      <c r="F83" s="172"/>
      <c r="G83" s="172"/>
      <c r="H83" s="173"/>
      <c r="I83" s="47" t="str">
        <f>Q83</f>
        <v/>
      </c>
      <c r="J83" s="47" t="str">
        <f>R83</f>
        <v/>
      </c>
      <c r="K83" s="32" t="str">
        <f>calc1!BX104</f>
        <v/>
      </c>
      <c r="L83" s="170">
        <f>calc1!BZ104</f>
        <v>0</v>
      </c>
      <c r="M83" s="170">
        <f>calc1!CB104</f>
        <v>0</v>
      </c>
      <c r="N83" s="170" t="str">
        <f>calc1!CF104</f>
        <v>0:0</v>
      </c>
      <c r="O83" s="170">
        <f>calc1!CE104</f>
        <v>0</v>
      </c>
      <c r="Q83" s="32" t="str">
        <f>IF(C83="bye",3,S83)</f>
        <v/>
      </c>
      <c r="R83" s="32" t="str">
        <f>IF(C83="bye",0,T83)</f>
        <v/>
      </c>
      <c r="S83" s="112" t="str">
        <f>IF(D83="","",((IF(D83&gt;0,1,0)+IF(E83&gt;0,1,0)+IF(F83&gt;0,1,0)+IF(G83&gt;0,1,0)+IF(H83&gt;0,1,0))))</f>
        <v/>
      </c>
      <c r="T83" s="112" t="str">
        <f>IF(D83="","",IF(D83&gt;0,0,1)+IF(E83="",0,IF(E83&gt;0,0,1))+IF(F83="",0,IF(F83&gt;0,0,1))+IF(G83="",0,IF(G83&gt;0,0,1))+IF(H83="",0,IF(H83&gt;0,0,1)))</f>
        <v/>
      </c>
    </row>
    <row r="84" spans="1:20" x14ac:dyDescent="0.2">
      <c r="A84" s="38" t="s">
        <v>571</v>
      </c>
      <c r="B84" s="32" t="str">
        <f>'1-los'!E29</f>
        <v/>
      </c>
      <c r="C84" s="39" t="str">
        <f>'1-los'!E30</f>
        <v/>
      </c>
      <c r="D84" s="172"/>
      <c r="E84" s="172"/>
      <c r="F84" s="172"/>
      <c r="G84" s="172"/>
      <c r="H84" s="173"/>
      <c r="I84" s="47" t="str">
        <f>IF(D84="","",((IF(D84&gt;0,1,0)+IF(E84&gt;0,1,0)+IF(F84&gt;0,1,0)+IF(G84&gt;0,1,0)+IF(H84&gt;0,1,0))))</f>
        <v/>
      </c>
      <c r="J84" s="47" t="str">
        <f>IF(D84="","",IF(D84&gt;0,0,1)+IF(E84="",0,IF(E84&gt;0,0,1))+IF(F84="",0,IF(F84&gt;0,0,1))+IF(G84="",0,IF(G84&gt;0,0,1))+IF(H84="",0,IF(H84&gt;0,0,1)))</f>
        <v/>
      </c>
      <c r="K84" s="32" t="str">
        <f>calc1!BX105</f>
        <v/>
      </c>
      <c r="L84" s="170">
        <f>calc1!BZ105</f>
        <v>0</v>
      </c>
      <c r="M84" s="170">
        <f>calc1!CB105</f>
        <v>0</v>
      </c>
      <c r="N84" s="170" t="str">
        <f>calc1!CF105</f>
        <v>0:0</v>
      </c>
      <c r="O84" s="170">
        <f>calc1!CE105</f>
        <v>0</v>
      </c>
    </row>
    <row r="85" spans="1:20" x14ac:dyDescent="0.2">
      <c r="A85" s="38" t="s">
        <v>572</v>
      </c>
      <c r="B85" s="32" t="str">
        <f>C83</f>
        <v/>
      </c>
      <c r="C85" s="39" t="str">
        <f>B84</f>
        <v/>
      </c>
      <c r="D85" s="172"/>
      <c r="E85" s="172"/>
      <c r="F85" s="172"/>
      <c r="G85" s="172"/>
      <c r="H85" s="173"/>
      <c r="I85" s="47" t="str">
        <f>Q85</f>
        <v/>
      </c>
      <c r="J85" s="47" t="str">
        <f>R85</f>
        <v/>
      </c>
      <c r="K85" s="32" t="str">
        <f>calc1!BX106</f>
        <v/>
      </c>
      <c r="L85" s="170">
        <f>calc1!BZ106</f>
        <v>0</v>
      </c>
      <c r="M85" s="170">
        <f>calc1!CB106</f>
        <v>0</v>
      </c>
      <c r="N85" s="170" t="str">
        <f>calc1!CF106</f>
        <v>0:0</v>
      </c>
      <c r="O85" s="170">
        <f>calc1!CE106</f>
        <v>0</v>
      </c>
      <c r="Q85" s="32" t="str">
        <f>IF(B85="bye",0,S85)</f>
        <v/>
      </c>
      <c r="R85" s="32" t="str">
        <f>IF(B85="bye",3,T85)</f>
        <v/>
      </c>
      <c r="S85" s="112" t="str">
        <f>IF(D85="","",((IF(D85&gt;0,1,0)+IF(E85&gt;0,1,0)+IF(F85&gt;0,1,0)+IF(G85&gt;0,1,0)+IF(H85&gt;0,1,0))))</f>
        <v/>
      </c>
      <c r="T85" s="112" t="str">
        <f>IF(D85="","",IF(D85&gt;0,0,1)+IF(E85="",0,IF(E85&gt;0,0,1))+IF(F85="",0,IF(F85&gt;0,0,1))+IF(G85="",0,IF(G85&gt;0,0,1))+IF(H85="",0,IF(H85&gt;0,0,1)))</f>
        <v/>
      </c>
    </row>
    <row r="86" spans="1:20" x14ac:dyDescent="0.2">
      <c r="A86" s="38" t="s">
        <v>573</v>
      </c>
      <c r="B86" s="32" t="str">
        <f>C84</f>
        <v/>
      </c>
      <c r="C86" s="39" t="str">
        <f>B83</f>
        <v/>
      </c>
      <c r="D86" s="172"/>
      <c r="E86" s="172"/>
      <c r="F86" s="172"/>
      <c r="G86" s="172"/>
      <c r="H86" s="173"/>
      <c r="I86" s="47" t="str">
        <f>IF(D86="","",((IF(D86&gt;0,1,0)+IF(E86&gt;0,1,0)+IF(F86&gt;0,1,0)+IF(G86&gt;0,1,0)+IF(H86&gt;0,1,0))))</f>
        <v/>
      </c>
      <c r="J86" s="47" t="str">
        <f>IF(D86="","",IF(D86&gt;0,0,1)+IF(E86="",0,IF(E86&gt;0,0,1))+IF(F86="",0,IF(F86&gt;0,0,1))+IF(G86="",0,IF(G86&gt;0,0,1))+IF(H86="",0,IF(H86&gt;0,0,1)))</f>
        <v/>
      </c>
      <c r="K86" s="32" t="str">
        <f>calc1!BX107</f>
        <v/>
      </c>
      <c r="L86" s="170">
        <f>calc1!BZ107</f>
        <v>0</v>
      </c>
      <c r="M86" s="170">
        <f>calc1!CB107</f>
        <v>0</v>
      </c>
      <c r="N86" s="170" t="str">
        <f>calc1!CF107</f>
        <v>0:0</v>
      </c>
      <c r="O86" s="170">
        <f>calc1!CE107</f>
        <v>0</v>
      </c>
    </row>
    <row r="87" spans="1:20" x14ac:dyDescent="0.2">
      <c r="A87" s="38" t="s">
        <v>574</v>
      </c>
      <c r="B87" s="32" t="str">
        <f>C84</f>
        <v/>
      </c>
      <c r="C87" s="39" t="str">
        <f>C83</f>
        <v/>
      </c>
      <c r="D87" s="172"/>
      <c r="E87" s="172"/>
      <c r="F87" s="172"/>
      <c r="G87" s="172"/>
      <c r="H87" s="173"/>
      <c r="I87" s="47" t="str">
        <f>Q87</f>
        <v/>
      </c>
      <c r="J87" s="47" t="str">
        <f>R87</f>
        <v/>
      </c>
      <c r="K87" s="390"/>
      <c r="L87" s="391"/>
      <c r="M87" s="391"/>
      <c r="N87" s="391"/>
      <c r="O87" s="391"/>
      <c r="Q87" s="32" t="str">
        <f>IF(C87="bye",3,S87)</f>
        <v/>
      </c>
      <c r="R87" s="32" t="str">
        <f>IF(C87="bye",0,T87)</f>
        <v/>
      </c>
      <c r="S87" s="112" t="str">
        <f>IF(D87="","",((IF(D87&gt;0,1,0)+IF(E87&gt;0,1,0)+IF(F87&gt;0,1,0)+IF(G87&gt;0,1,0)+IF(H87&gt;0,1,0))))</f>
        <v/>
      </c>
      <c r="T87" s="112" t="str">
        <f>IF(D87="","",IF(D87&gt;0,0,1)+IF(E87="",0,IF(E87&gt;0,0,1))+IF(F87="",0,IF(F87&gt;0,0,1))+IF(G87="",0,IF(G87&gt;0,0,1))+IF(H87="",0,IF(H87&gt;0,0,1)))</f>
        <v/>
      </c>
    </row>
    <row r="88" spans="1:20" x14ac:dyDescent="0.2">
      <c r="A88" s="38" t="s">
        <v>575</v>
      </c>
      <c r="B88" s="32" t="str">
        <f>B83</f>
        <v/>
      </c>
      <c r="C88" s="39" t="str">
        <f>B84</f>
        <v/>
      </c>
      <c r="D88" s="172"/>
      <c r="E88" s="172"/>
      <c r="F88" s="172"/>
      <c r="G88" s="172"/>
      <c r="H88" s="173"/>
      <c r="I88" s="47" t="str">
        <f>IF(D88="","",((IF(D88&gt;0,1,0)+IF(E88&gt;0,1,0)+IF(F88&gt;0,1,0)+IF(G88&gt;0,1,0)+IF(H88&gt;0,1,0))))</f>
        <v/>
      </c>
      <c r="J88" s="47" t="str">
        <f>IF(D88="","",IF(D88&gt;0,0,1)+IF(E88="",0,IF(E88&gt;0,0,1))+IF(F88="",0,IF(F88&gt;0,0,1))+IF(G88="",0,IF(G88&gt;0,0,1))+IF(H88="",0,IF(H88&gt;0,0,1)))</f>
        <v/>
      </c>
      <c r="K88" s="390"/>
      <c r="L88" s="391"/>
      <c r="M88" s="391"/>
      <c r="N88" s="391"/>
      <c r="O88" s="391"/>
    </row>
    <row r="89" spans="1:20" x14ac:dyDescent="0.2">
      <c r="A89" s="50" t="str">
        <f>'1-los'!F27</f>
        <v>skupina B6</v>
      </c>
      <c r="B89" s="167"/>
      <c r="C89" s="31"/>
      <c r="D89" s="31"/>
      <c r="E89" s="31"/>
      <c r="F89" s="31"/>
      <c r="G89" s="31"/>
      <c r="H89" s="31"/>
      <c r="I89" s="31"/>
      <c r="J89" s="31"/>
      <c r="K89" s="171" t="str">
        <f>A89</f>
        <v>skupina B6</v>
      </c>
      <c r="L89" s="168"/>
      <c r="M89" s="168"/>
      <c r="N89" s="168"/>
      <c r="O89" s="168"/>
    </row>
    <row r="90" spans="1:20" x14ac:dyDescent="0.2">
      <c r="A90" s="34" t="s">
        <v>159</v>
      </c>
      <c r="B90" s="33" t="s">
        <v>61</v>
      </c>
      <c r="C90" s="35" t="s">
        <v>62</v>
      </c>
      <c r="D90" s="35"/>
      <c r="E90" s="35"/>
      <c r="F90" s="35"/>
      <c r="G90" s="35"/>
      <c r="H90" s="35"/>
      <c r="I90" s="33"/>
      <c r="J90" s="33"/>
      <c r="K90" s="36" t="s">
        <v>63</v>
      </c>
      <c r="L90" s="169" t="s">
        <v>64</v>
      </c>
      <c r="M90" s="169" t="s">
        <v>65</v>
      </c>
      <c r="N90" s="169" t="s">
        <v>66</v>
      </c>
      <c r="O90" s="169" t="s">
        <v>57</v>
      </c>
    </row>
    <row r="91" spans="1:20" x14ac:dyDescent="0.2">
      <c r="A91" s="38" t="s">
        <v>576</v>
      </c>
      <c r="B91" s="32" t="str">
        <f>'1-los'!G28</f>
        <v/>
      </c>
      <c r="C91" s="39" t="str">
        <f>'1-los'!G31</f>
        <v/>
      </c>
      <c r="D91" s="172"/>
      <c r="E91" s="172"/>
      <c r="F91" s="172"/>
      <c r="G91" s="172"/>
      <c r="H91" s="173"/>
      <c r="I91" s="47" t="str">
        <f>Q91</f>
        <v/>
      </c>
      <c r="J91" s="47" t="str">
        <f>R91</f>
        <v/>
      </c>
      <c r="K91" s="32" t="str">
        <f>calc1!BX114</f>
        <v/>
      </c>
      <c r="L91" s="170">
        <f>calc1!BZ114</f>
        <v>0</v>
      </c>
      <c r="M91" s="170">
        <f>calc1!CB114</f>
        <v>0</v>
      </c>
      <c r="N91" s="170" t="str">
        <f>calc1!CF114</f>
        <v>0:0</v>
      </c>
      <c r="O91" s="170">
        <f>calc1!CE114</f>
        <v>0</v>
      </c>
      <c r="Q91" s="32" t="str">
        <f>IF(C91="bye",3,S91)</f>
        <v/>
      </c>
      <c r="R91" s="32" t="str">
        <f>IF(C91="bye",0,T91)</f>
        <v/>
      </c>
      <c r="S91" s="112" t="str">
        <f>IF(D91="","",((IF(D91&gt;0,1,0)+IF(E91&gt;0,1,0)+IF(F91&gt;0,1,0)+IF(G91&gt;0,1,0)+IF(H91&gt;0,1,0))))</f>
        <v/>
      </c>
      <c r="T91" s="112" t="str">
        <f>IF(D91="","",IF(D91&gt;0,0,1)+IF(E91="",0,IF(E91&gt;0,0,1))+IF(F91="",0,IF(F91&gt;0,0,1))+IF(G91="",0,IF(G91&gt;0,0,1))+IF(H91="",0,IF(H91&gt;0,0,1)))</f>
        <v/>
      </c>
    </row>
    <row r="92" spans="1:20" x14ac:dyDescent="0.2">
      <c r="A92" s="38" t="s">
        <v>577</v>
      </c>
      <c r="B92" s="32" t="str">
        <f>'1-los'!G29</f>
        <v/>
      </c>
      <c r="C92" s="39" t="str">
        <f>'1-los'!G30</f>
        <v/>
      </c>
      <c r="D92" s="172"/>
      <c r="E92" s="172"/>
      <c r="F92" s="172"/>
      <c r="G92" s="172"/>
      <c r="H92" s="173"/>
      <c r="I92" s="47" t="str">
        <f>IF(D92="","",((IF(D92&gt;0,1,0)+IF(E92&gt;0,1,0)+IF(F92&gt;0,1,0)+IF(G92&gt;0,1,0)+IF(H92&gt;0,1,0))))</f>
        <v/>
      </c>
      <c r="J92" s="47" t="str">
        <f>IF(D92="","",IF(D92&gt;0,0,1)+IF(E92="",0,IF(E92&gt;0,0,1))+IF(F92="",0,IF(F92&gt;0,0,1))+IF(G92="",0,IF(G92&gt;0,0,1))+IF(H92="",0,IF(H92&gt;0,0,1)))</f>
        <v/>
      </c>
      <c r="K92" s="32" t="str">
        <f>calc1!BX115</f>
        <v/>
      </c>
      <c r="L92" s="170">
        <f>calc1!BZ115</f>
        <v>0</v>
      </c>
      <c r="M92" s="170">
        <f>calc1!CB115</f>
        <v>0</v>
      </c>
      <c r="N92" s="170" t="str">
        <f>calc1!CF115</f>
        <v>0:0</v>
      </c>
      <c r="O92" s="170">
        <f>calc1!CE115</f>
        <v>0</v>
      </c>
    </row>
    <row r="93" spans="1:20" x14ac:dyDescent="0.2">
      <c r="A93" s="38" t="s">
        <v>578</v>
      </c>
      <c r="B93" s="32" t="str">
        <f>C91</f>
        <v/>
      </c>
      <c r="C93" s="39" t="str">
        <f>B92</f>
        <v/>
      </c>
      <c r="D93" s="172"/>
      <c r="E93" s="172"/>
      <c r="F93" s="172"/>
      <c r="G93" s="172"/>
      <c r="H93" s="173"/>
      <c r="I93" s="47" t="str">
        <f>Q93</f>
        <v/>
      </c>
      <c r="J93" s="47" t="str">
        <f>R93</f>
        <v/>
      </c>
      <c r="K93" s="32" t="str">
        <f>calc1!BX116</f>
        <v/>
      </c>
      <c r="L93" s="170">
        <f>calc1!BZ116</f>
        <v>0</v>
      </c>
      <c r="M93" s="170">
        <f>calc1!CB116</f>
        <v>0</v>
      </c>
      <c r="N93" s="170" t="str">
        <f>calc1!CF116</f>
        <v>0:0</v>
      </c>
      <c r="O93" s="170">
        <f>calc1!CE116</f>
        <v>0</v>
      </c>
      <c r="Q93" s="32" t="str">
        <f>IF(B93="bye",0,S93)</f>
        <v/>
      </c>
      <c r="R93" s="32" t="str">
        <f>IF(B93="bye",3,T93)</f>
        <v/>
      </c>
      <c r="S93" s="112" t="str">
        <f>IF(D93="","",((IF(D93&gt;0,1,0)+IF(E93&gt;0,1,0)+IF(F93&gt;0,1,0)+IF(G93&gt;0,1,0)+IF(H93&gt;0,1,0))))</f>
        <v/>
      </c>
      <c r="T93" s="112" t="str">
        <f>IF(D93="","",IF(D93&gt;0,0,1)+IF(E93="",0,IF(E93&gt;0,0,1))+IF(F93="",0,IF(F93&gt;0,0,1))+IF(G93="",0,IF(G93&gt;0,0,1))+IF(H93="",0,IF(H93&gt;0,0,1)))</f>
        <v/>
      </c>
    </row>
    <row r="94" spans="1:20" x14ac:dyDescent="0.2">
      <c r="A94" s="38" t="s">
        <v>579</v>
      </c>
      <c r="B94" s="32" t="str">
        <f>C92</f>
        <v/>
      </c>
      <c r="C94" s="39" t="str">
        <f>B91</f>
        <v/>
      </c>
      <c r="D94" s="172"/>
      <c r="E94" s="172"/>
      <c r="F94" s="172"/>
      <c r="G94" s="172"/>
      <c r="H94" s="173"/>
      <c r="I94" s="47" t="str">
        <f>IF(D94="","",((IF(D94&gt;0,1,0)+IF(E94&gt;0,1,0)+IF(F94&gt;0,1,0)+IF(G94&gt;0,1,0)+IF(H94&gt;0,1,0))))</f>
        <v/>
      </c>
      <c r="J94" s="47" t="str">
        <f>IF(D94="","",IF(D94&gt;0,0,1)+IF(E94="",0,IF(E94&gt;0,0,1))+IF(F94="",0,IF(F94&gt;0,0,1))+IF(G94="",0,IF(G94&gt;0,0,1))+IF(H94="",0,IF(H94&gt;0,0,1)))</f>
        <v/>
      </c>
      <c r="K94" s="32" t="str">
        <f>calc1!BX117</f>
        <v/>
      </c>
      <c r="L94" s="170">
        <f>calc1!BZ117</f>
        <v>0</v>
      </c>
      <c r="M94" s="170">
        <f>calc1!CB117</f>
        <v>0</v>
      </c>
      <c r="N94" s="170" t="str">
        <f>calc1!CF117</f>
        <v>0:0</v>
      </c>
      <c r="O94" s="170">
        <f>calc1!CE117</f>
        <v>0</v>
      </c>
    </row>
    <row r="95" spans="1:20" x14ac:dyDescent="0.2">
      <c r="A95" s="38" t="s">
        <v>580</v>
      </c>
      <c r="B95" s="32" t="str">
        <f>C92</f>
        <v/>
      </c>
      <c r="C95" s="39" t="str">
        <f>C91</f>
        <v/>
      </c>
      <c r="D95" s="172"/>
      <c r="E95" s="172"/>
      <c r="F95" s="172"/>
      <c r="G95" s="172"/>
      <c r="H95" s="173"/>
      <c r="I95" s="47" t="str">
        <f>Q95</f>
        <v/>
      </c>
      <c r="J95" s="47" t="str">
        <f>R95</f>
        <v/>
      </c>
      <c r="K95" s="390"/>
      <c r="L95" s="391"/>
      <c r="M95" s="391"/>
      <c r="N95" s="391"/>
      <c r="O95" s="391"/>
      <c r="Q95" s="32" t="str">
        <f>IF(C95="bye",3,S95)</f>
        <v/>
      </c>
      <c r="R95" s="32" t="str">
        <f>IF(C95="bye",0,T95)</f>
        <v/>
      </c>
      <c r="S95" s="112" t="str">
        <f>IF(D95="","",((IF(D95&gt;0,1,0)+IF(E95&gt;0,1,0)+IF(F95&gt;0,1,0)+IF(G95&gt;0,1,0)+IF(H95&gt;0,1,0))))</f>
        <v/>
      </c>
      <c r="T95" s="112" t="str">
        <f>IF(D95="","",IF(D95&gt;0,0,1)+IF(E95="",0,IF(E95&gt;0,0,1))+IF(F95="",0,IF(F95&gt;0,0,1))+IF(G95="",0,IF(G95&gt;0,0,1))+IF(H95="",0,IF(H95&gt;0,0,1)))</f>
        <v/>
      </c>
    </row>
    <row r="96" spans="1:20" x14ac:dyDescent="0.2">
      <c r="A96" s="38" t="s">
        <v>581</v>
      </c>
      <c r="B96" s="32" t="str">
        <f>B91</f>
        <v/>
      </c>
      <c r="C96" s="39" t="str">
        <f>B92</f>
        <v/>
      </c>
      <c r="D96" s="172"/>
      <c r="E96" s="172"/>
      <c r="F96" s="172"/>
      <c r="G96" s="172"/>
      <c r="H96" s="173"/>
      <c r="I96" s="47" t="str">
        <f>IF(D96="","",((IF(D96&gt;0,1,0)+IF(E96&gt;0,1,0)+IF(F96&gt;0,1,0)+IF(G96&gt;0,1,0)+IF(H96&gt;0,1,0))))</f>
        <v/>
      </c>
      <c r="J96" s="47" t="str">
        <f>IF(D96="","",IF(D96&gt;0,0,1)+IF(E96="",0,IF(E96&gt;0,0,1))+IF(F96="",0,IF(F96&gt;0,0,1))+IF(G96="",0,IF(G96&gt;0,0,1))+IF(H96="",0,IF(H96&gt;0,0,1)))</f>
        <v/>
      </c>
      <c r="K96" s="390"/>
      <c r="L96" s="391"/>
      <c r="M96" s="391"/>
      <c r="N96" s="391"/>
      <c r="O96" s="391"/>
    </row>
    <row r="97" spans="1:20" x14ac:dyDescent="0.2">
      <c r="A97" s="50" t="str">
        <f>'1-los'!D32</f>
        <v>skupina B7</v>
      </c>
      <c r="B97" s="167"/>
      <c r="C97" s="31"/>
      <c r="D97" s="31"/>
      <c r="E97" s="31"/>
      <c r="F97" s="31"/>
      <c r="G97" s="31"/>
      <c r="H97" s="31"/>
      <c r="I97" s="31"/>
      <c r="J97" s="31"/>
      <c r="K97" s="171" t="str">
        <f>A97</f>
        <v>skupina B7</v>
      </c>
      <c r="L97" s="168"/>
      <c r="M97" s="168"/>
      <c r="N97" s="168"/>
      <c r="O97" s="168"/>
    </row>
    <row r="98" spans="1:20" x14ac:dyDescent="0.2">
      <c r="A98" s="34" t="s">
        <v>159</v>
      </c>
      <c r="B98" s="33" t="s">
        <v>61</v>
      </c>
      <c r="C98" s="35" t="s">
        <v>62</v>
      </c>
      <c r="D98" s="35"/>
      <c r="E98" s="35"/>
      <c r="F98" s="35"/>
      <c r="G98" s="35"/>
      <c r="H98" s="35"/>
      <c r="I98" s="33"/>
      <c r="J98" s="33"/>
      <c r="K98" s="36" t="s">
        <v>63</v>
      </c>
      <c r="L98" s="169" t="s">
        <v>64</v>
      </c>
      <c r="M98" s="169" t="s">
        <v>65</v>
      </c>
      <c r="N98" s="169" t="s">
        <v>66</v>
      </c>
      <c r="O98" s="169" t="s">
        <v>57</v>
      </c>
    </row>
    <row r="99" spans="1:20" x14ac:dyDescent="0.2">
      <c r="A99" s="38" t="s">
        <v>251</v>
      </c>
      <c r="B99" s="32" t="str">
        <f>'1-los'!E33</f>
        <v/>
      </c>
      <c r="C99" s="39" t="str">
        <f>'1-los'!E36</f>
        <v/>
      </c>
      <c r="D99" s="172"/>
      <c r="E99" s="172"/>
      <c r="F99" s="172"/>
      <c r="G99" s="172"/>
      <c r="H99" s="173"/>
      <c r="I99" s="47" t="str">
        <f>Q99</f>
        <v/>
      </c>
      <c r="J99" s="47" t="str">
        <f>R99</f>
        <v/>
      </c>
      <c r="K99" s="32" t="str">
        <f>calc1!BX124</f>
        <v/>
      </c>
      <c r="L99" s="170">
        <f>calc1!BZ124</f>
        <v>0</v>
      </c>
      <c r="M99" s="170">
        <f>calc1!CB124</f>
        <v>0</v>
      </c>
      <c r="N99" s="170" t="str">
        <f>calc1!CF124</f>
        <v>0:0</v>
      </c>
      <c r="O99" s="170">
        <f>calc1!CE124</f>
        <v>0</v>
      </c>
      <c r="Q99" s="32" t="str">
        <f>IF(C99="bye",2,S99)</f>
        <v/>
      </c>
      <c r="R99" s="32" t="str">
        <f>IF(C99="bye",0,T99)</f>
        <v/>
      </c>
      <c r="S99" s="112" t="str">
        <f>IF(D99="","",((IF(D99&gt;0,1,0)+IF(E99&gt;0,1,0)+IF(F99&gt;0,1,0)+IF(G99&gt;0,1,0)+IF(H99&gt;0,1,0))))</f>
        <v/>
      </c>
      <c r="T99" s="112" t="str">
        <f>IF(D99="","",IF(D99&gt;0,0,1)+IF(E99="",0,IF(E99&gt;0,0,1))+IF(F99="",0,IF(F99&gt;0,0,1))+IF(G99="",0,IF(G99&gt;0,0,1))+IF(H99="",0,IF(H99&gt;0,0,1)))</f>
        <v/>
      </c>
    </row>
    <row r="100" spans="1:20" x14ac:dyDescent="0.2">
      <c r="A100" s="38" t="s">
        <v>252</v>
      </c>
      <c r="B100" s="32" t="str">
        <f>'1-los'!E34</f>
        <v/>
      </c>
      <c r="C100" s="39" t="str">
        <f>'1-los'!E35</f>
        <v/>
      </c>
      <c r="D100" s="172"/>
      <c r="E100" s="172"/>
      <c r="F100" s="172"/>
      <c r="G100" s="172"/>
      <c r="H100" s="173"/>
      <c r="I100" s="47" t="str">
        <f>IF(D100="","",((IF(D100&gt;0,1,0)+IF(E100&gt;0,1,0)+IF(F100&gt;0,1,0)+IF(G100&gt;0,1,0)+IF(H100&gt;0,1,0))))</f>
        <v/>
      </c>
      <c r="J100" s="47" t="str">
        <f>IF(D100="","",IF(D100&gt;0,0,1)+IF(E100="",0,IF(E100&gt;0,0,1))+IF(F100="",0,IF(F100&gt;0,0,1))+IF(G100="",0,IF(G100&gt;0,0,1))+IF(H100="",0,IF(H100&gt;0,0,1)))</f>
        <v/>
      </c>
      <c r="K100" s="32" t="str">
        <f>calc1!BX125</f>
        <v/>
      </c>
      <c r="L100" s="170">
        <f>calc1!BZ125</f>
        <v>0</v>
      </c>
      <c r="M100" s="170">
        <f>calc1!CB125</f>
        <v>0</v>
      </c>
      <c r="N100" s="170" t="str">
        <f>calc1!CF125</f>
        <v>0:0</v>
      </c>
      <c r="O100" s="170">
        <f>calc1!CE125</f>
        <v>0</v>
      </c>
    </row>
    <row r="101" spans="1:20" x14ac:dyDescent="0.2">
      <c r="A101" s="38" t="s">
        <v>253</v>
      </c>
      <c r="B101" s="32" t="str">
        <f>C99</f>
        <v/>
      </c>
      <c r="C101" s="39" t="str">
        <f>B100</f>
        <v/>
      </c>
      <c r="D101" s="172"/>
      <c r="E101" s="172"/>
      <c r="F101" s="172"/>
      <c r="G101" s="172"/>
      <c r="H101" s="173"/>
      <c r="I101" s="47" t="str">
        <f>Q101</f>
        <v/>
      </c>
      <c r="J101" s="47" t="str">
        <f>R101</f>
        <v/>
      </c>
      <c r="K101" s="32" t="str">
        <f>calc1!BX126</f>
        <v/>
      </c>
      <c r="L101" s="170">
        <f>calc1!BZ126</f>
        <v>0</v>
      </c>
      <c r="M101" s="170">
        <f>calc1!CB126</f>
        <v>0</v>
      </c>
      <c r="N101" s="170" t="str">
        <f>calc1!CF126</f>
        <v>0:0</v>
      </c>
      <c r="O101" s="170">
        <f>calc1!CE126</f>
        <v>0</v>
      </c>
      <c r="Q101" s="32" t="str">
        <f>IF(B101="bye",0,S101)</f>
        <v/>
      </c>
      <c r="R101" s="32" t="str">
        <f>IF(B101="bye",2,T101)</f>
        <v/>
      </c>
      <c r="S101" s="112" t="str">
        <f>IF(D101="","",((IF(D101&gt;0,1,0)+IF(E101&gt;0,1,0)+IF(F101&gt;0,1,0)+IF(G101&gt;0,1,0)+IF(H101&gt;0,1,0))))</f>
        <v/>
      </c>
      <c r="T101" s="112" t="str">
        <f>IF(D101="","",IF(D101&gt;0,0,1)+IF(E101="",0,IF(E101&gt;0,0,1))+IF(F101="",0,IF(F101&gt;0,0,1))+IF(G101="",0,IF(G101&gt;0,0,1))+IF(H101="",0,IF(H101&gt;0,0,1)))</f>
        <v/>
      </c>
    </row>
    <row r="102" spans="1:20" x14ac:dyDescent="0.2">
      <c r="A102" s="38" t="s">
        <v>254</v>
      </c>
      <c r="B102" s="32" t="str">
        <f>C100</f>
        <v/>
      </c>
      <c r="C102" s="39" t="str">
        <f>B99</f>
        <v/>
      </c>
      <c r="D102" s="172"/>
      <c r="E102" s="172"/>
      <c r="F102" s="172"/>
      <c r="G102" s="172"/>
      <c r="H102" s="173"/>
      <c r="I102" s="47" t="str">
        <f>IF(D102="","",((IF(D102&gt;0,1,0)+IF(E102&gt;0,1,0)+IF(F102&gt;0,1,0)+IF(G102&gt;0,1,0)+IF(H102&gt;0,1,0))))</f>
        <v/>
      </c>
      <c r="J102" s="47" t="str">
        <f>IF(D102="","",IF(D102&gt;0,0,1)+IF(E102="",0,IF(E102&gt;0,0,1))+IF(F102="",0,IF(F102&gt;0,0,1))+IF(G102="",0,IF(G102&gt;0,0,1))+IF(H102="",0,IF(H102&gt;0,0,1)))</f>
        <v/>
      </c>
      <c r="K102" s="32" t="str">
        <f>calc1!BX127</f>
        <v/>
      </c>
      <c r="L102" s="170">
        <f>calc1!BZ127</f>
        <v>0</v>
      </c>
      <c r="M102" s="170">
        <f>calc1!CB127</f>
        <v>0</v>
      </c>
      <c r="N102" s="170" t="str">
        <f>calc1!CF127</f>
        <v>0:0</v>
      </c>
      <c r="O102" s="170">
        <f>calc1!CE127</f>
        <v>0</v>
      </c>
    </row>
    <row r="103" spans="1:20" x14ac:dyDescent="0.2">
      <c r="A103" s="38" t="s">
        <v>255</v>
      </c>
      <c r="B103" s="32" t="str">
        <f>C100</f>
        <v/>
      </c>
      <c r="C103" s="39" t="str">
        <f>C99</f>
        <v/>
      </c>
      <c r="D103" s="172"/>
      <c r="E103" s="172"/>
      <c r="F103" s="172"/>
      <c r="G103" s="172"/>
      <c r="H103" s="173"/>
      <c r="I103" s="47" t="str">
        <f>Q103</f>
        <v/>
      </c>
      <c r="J103" s="47" t="str">
        <f>R103</f>
        <v/>
      </c>
      <c r="K103" s="390"/>
      <c r="L103" s="391"/>
      <c r="M103" s="391"/>
      <c r="N103" s="391"/>
      <c r="O103" s="391"/>
      <c r="Q103" s="32" t="str">
        <f>IF(C103="bye",2,S103)</f>
        <v/>
      </c>
      <c r="R103" s="32" t="str">
        <f>IF(C103="bye",0,T103)</f>
        <v/>
      </c>
      <c r="S103" s="112" t="str">
        <f>IF(D103="","",((IF(D103&gt;0,1,0)+IF(E103&gt;0,1,0)+IF(F103&gt;0,1,0)+IF(G103&gt;0,1,0)+IF(H103&gt;0,1,0))))</f>
        <v/>
      </c>
      <c r="T103" s="112" t="str">
        <f>IF(D103="","",IF(D103&gt;0,0,1)+IF(E103="",0,IF(E103&gt;0,0,1))+IF(F103="",0,IF(F103&gt;0,0,1))+IF(G103="",0,IF(G103&gt;0,0,1))+IF(H103="",0,IF(H103&gt;0,0,1)))</f>
        <v/>
      </c>
    </row>
    <row r="104" spans="1:20" x14ac:dyDescent="0.2">
      <c r="A104" s="38" t="s">
        <v>256</v>
      </c>
      <c r="B104" s="32" t="str">
        <f>B99</f>
        <v/>
      </c>
      <c r="C104" s="39" t="str">
        <f>B100</f>
        <v/>
      </c>
      <c r="D104" s="172"/>
      <c r="E104" s="172"/>
      <c r="F104" s="172"/>
      <c r="G104" s="172"/>
      <c r="H104" s="173"/>
      <c r="I104" s="47" t="str">
        <f>IF(D104="","",((IF(D104&gt;0,1,0)+IF(E104&gt;0,1,0)+IF(F104&gt;0,1,0)+IF(G104&gt;0,1,0)+IF(H104&gt;0,1,0))))</f>
        <v/>
      </c>
      <c r="J104" s="47" t="str">
        <f>IF(D104="","",IF(D104&gt;0,0,1)+IF(E104="",0,IF(E104&gt;0,0,1))+IF(F104="",0,IF(F104&gt;0,0,1))+IF(G104="",0,IF(G104&gt;0,0,1))+IF(H104="",0,IF(H104&gt;0,0,1)))</f>
        <v/>
      </c>
      <c r="K104" s="390"/>
      <c r="L104" s="391"/>
      <c r="M104" s="391"/>
      <c r="N104" s="391"/>
      <c r="O104" s="391"/>
    </row>
    <row r="105" spans="1:20" x14ac:dyDescent="0.2">
      <c r="A105" s="50" t="str">
        <f>'1-los'!F32</f>
        <v>skupina B8</v>
      </c>
      <c r="B105" s="167"/>
      <c r="C105" s="31"/>
      <c r="D105" s="31"/>
      <c r="E105" s="31"/>
      <c r="F105" s="31"/>
      <c r="G105" s="31"/>
      <c r="H105" s="31"/>
      <c r="I105" s="31"/>
      <c r="J105" s="31"/>
      <c r="K105" s="171" t="str">
        <f>A105</f>
        <v>skupina B8</v>
      </c>
      <c r="L105" s="168"/>
      <c r="M105" s="168"/>
      <c r="N105" s="168"/>
      <c r="O105" s="168"/>
    </row>
    <row r="106" spans="1:20" x14ac:dyDescent="0.2">
      <c r="A106" s="34" t="s">
        <v>159</v>
      </c>
      <c r="B106" s="33" t="s">
        <v>61</v>
      </c>
      <c r="C106" s="35" t="s">
        <v>62</v>
      </c>
      <c r="D106" s="35"/>
      <c r="E106" s="35"/>
      <c r="F106" s="35"/>
      <c r="G106" s="35"/>
      <c r="H106" s="35"/>
      <c r="I106" s="33"/>
      <c r="J106" s="33"/>
      <c r="K106" s="36" t="s">
        <v>63</v>
      </c>
      <c r="L106" s="169" t="s">
        <v>64</v>
      </c>
      <c r="M106" s="169" t="s">
        <v>65</v>
      </c>
      <c r="N106" s="169" t="s">
        <v>66</v>
      </c>
      <c r="O106" s="169" t="s">
        <v>57</v>
      </c>
    </row>
    <row r="107" spans="1:20" x14ac:dyDescent="0.2">
      <c r="A107" s="38" t="s">
        <v>257</v>
      </c>
      <c r="B107" s="32" t="str">
        <f>'1-los'!G33</f>
        <v/>
      </c>
      <c r="C107" s="39" t="str">
        <f>'1-los'!G36</f>
        <v/>
      </c>
      <c r="D107" s="172"/>
      <c r="E107" s="172"/>
      <c r="F107" s="172"/>
      <c r="G107" s="172"/>
      <c r="H107" s="173"/>
      <c r="I107" s="47" t="str">
        <f>Q107</f>
        <v/>
      </c>
      <c r="J107" s="47" t="str">
        <f>R107</f>
        <v/>
      </c>
      <c r="K107" s="32" t="str">
        <f>calc1!BX134</f>
        <v/>
      </c>
      <c r="L107" s="170">
        <f>calc1!BZ134</f>
        <v>0</v>
      </c>
      <c r="M107" s="170">
        <f>calc1!CB134</f>
        <v>0</v>
      </c>
      <c r="N107" s="170" t="str">
        <f>calc1!CF134</f>
        <v>0:0</v>
      </c>
      <c r="O107" s="170">
        <f>calc1!CE134</f>
        <v>0</v>
      </c>
      <c r="Q107" s="32" t="str">
        <f>IF(C107="bye",2,S107)</f>
        <v/>
      </c>
      <c r="R107" s="32" t="str">
        <f>IF(C107="bye",0,T107)</f>
        <v/>
      </c>
      <c r="S107" s="112" t="str">
        <f>IF(D107="","",((IF(D107&gt;0,1,0)+IF(E107&gt;0,1,0)+IF(F107&gt;0,1,0)+IF(G107&gt;0,1,0)+IF(H107&gt;0,1,0))))</f>
        <v/>
      </c>
      <c r="T107" s="112" t="str">
        <f>IF(D107="","",IF(D107&gt;0,0,1)+IF(E107="",0,IF(E107&gt;0,0,1))+IF(F107="",0,IF(F107&gt;0,0,1))+IF(G107="",0,IF(G107&gt;0,0,1))+IF(H107="",0,IF(H107&gt;0,0,1)))</f>
        <v/>
      </c>
    </row>
    <row r="108" spans="1:20" x14ac:dyDescent="0.2">
      <c r="A108" s="38" t="s">
        <v>258</v>
      </c>
      <c r="B108" s="32" t="str">
        <f>'1-los'!G34</f>
        <v/>
      </c>
      <c r="C108" s="39" t="str">
        <f>'1-los'!G35</f>
        <v/>
      </c>
      <c r="D108" s="172"/>
      <c r="E108" s="172"/>
      <c r="F108" s="172"/>
      <c r="G108" s="172"/>
      <c r="H108" s="173"/>
      <c r="I108" s="47" t="str">
        <f>IF(D108="","",((IF(D108&gt;0,1,0)+IF(E108&gt;0,1,0)+IF(F108&gt;0,1,0)+IF(G108&gt;0,1,0)+IF(H108&gt;0,1,0))))</f>
        <v/>
      </c>
      <c r="J108" s="47" t="str">
        <f>IF(D108="","",IF(D108&gt;0,0,1)+IF(E108="",0,IF(E108&gt;0,0,1))+IF(F108="",0,IF(F108&gt;0,0,1))+IF(G108="",0,IF(G108&gt;0,0,1))+IF(H108="",0,IF(H108&gt;0,0,1)))</f>
        <v/>
      </c>
      <c r="K108" s="32" t="str">
        <f>calc1!BX135</f>
        <v/>
      </c>
      <c r="L108" s="170">
        <f>calc1!BZ135</f>
        <v>0</v>
      </c>
      <c r="M108" s="170">
        <f>calc1!CB135</f>
        <v>0</v>
      </c>
      <c r="N108" s="170" t="str">
        <f>calc1!CF135</f>
        <v>0:0</v>
      </c>
      <c r="O108" s="170">
        <f>calc1!CE135</f>
        <v>0</v>
      </c>
    </row>
    <row r="109" spans="1:20" x14ac:dyDescent="0.2">
      <c r="A109" s="38" t="s">
        <v>259</v>
      </c>
      <c r="B109" s="32" t="str">
        <f>C107</f>
        <v/>
      </c>
      <c r="C109" s="39" t="str">
        <f>B108</f>
        <v/>
      </c>
      <c r="D109" s="172"/>
      <c r="E109" s="172"/>
      <c r="F109" s="172"/>
      <c r="G109" s="172"/>
      <c r="H109" s="173"/>
      <c r="I109" s="47" t="str">
        <f>Q109</f>
        <v/>
      </c>
      <c r="J109" s="47" t="str">
        <f>R109</f>
        <v/>
      </c>
      <c r="K109" s="32" t="str">
        <f>calc1!BX136</f>
        <v/>
      </c>
      <c r="L109" s="170">
        <f>calc1!BZ136</f>
        <v>0</v>
      </c>
      <c r="M109" s="170">
        <f>calc1!CB136</f>
        <v>0</v>
      </c>
      <c r="N109" s="170" t="str">
        <f>calc1!CF136</f>
        <v>0:0</v>
      </c>
      <c r="O109" s="170">
        <f>calc1!CE136</f>
        <v>0</v>
      </c>
      <c r="Q109" s="32" t="str">
        <f>IF(B109="bye",0,S109)</f>
        <v/>
      </c>
      <c r="R109" s="32" t="str">
        <f>IF(B109="bye",2,T109)</f>
        <v/>
      </c>
      <c r="S109" s="112" t="str">
        <f>IF(D109="","",((IF(D109&gt;0,1,0)+IF(E109&gt;0,1,0)+IF(F109&gt;0,1,0)+IF(G109&gt;0,1,0)+IF(H109&gt;0,1,0))))</f>
        <v/>
      </c>
      <c r="T109" s="112" t="str">
        <f>IF(D109="","",IF(D109&gt;0,0,1)+IF(E109="",0,IF(E109&gt;0,0,1))+IF(F109="",0,IF(F109&gt;0,0,1))+IF(G109="",0,IF(G109&gt;0,0,1))+IF(H109="",0,IF(H109&gt;0,0,1)))</f>
        <v/>
      </c>
    </row>
    <row r="110" spans="1:20" x14ac:dyDescent="0.2">
      <c r="A110" s="38" t="s">
        <v>260</v>
      </c>
      <c r="B110" s="32" t="str">
        <f>C108</f>
        <v/>
      </c>
      <c r="C110" s="39" t="str">
        <f>B107</f>
        <v/>
      </c>
      <c r="D110" s="172"/>
      <c r="E110" s="172"/>
      <c r="F110" s="172"/>
      <c r="G110" s="172"/>
      <c r="H110" s="173"/>
      <c r="I110" s="47" t="str">
        <f>IF(D110="","",((IF(D110&gt;0,1,0)+IF(E110&gt;0,1,0)+IF(F110&gt;0,1,0)+IF(G110&gt;0,1,0)+IF(H110&gt;0,1,0))))</f>
        <v/>
      </c>
      <c r="J110" s="47" t="str">
        <f>IF(D110="","",IF(D110&gt;0,0,1)+IF(E110="",0,IF(E110&gt;0,0,1))+IF(F110="",0,IF(F110&gt;0,0,1))+IF(G110="",0,IF(G110&gt;0,0,1))+IF(H110="",0,IF(H110&gt;0,0,1)))</f>
        <v/>
      </c>
      <c r="K110" s="32" t="str">
        <f>calc1!BX137</f>
        <v/>
      </c>
      <c r="L110" s="170">
        <f>calc1!BZ137</f>
        <v>0</v>
      </c>
      <c r="M110" s="170">
        <f>calc1!CB137</f>
        <v>0</v>
      </c>
      <c r="N110" s="170" t="str">
        <f>calc1!CF137</f>
        <v>0:0</v>
      </c>
      <c r="O110" s="170">
        <f>calc1!CE137</f>
        <v>0</v>
      </c>
    </row>
    <row r="111" spans="1:20" x14ac:dyDescent="0.2">
      <c r="A111" s="38" t="s">
        <v>261</v>
      </c>
      <c r="B111" s="32" t="str">
        <f>C108</f>
        <v/>
      </c>
      <c r="C111" s="39" t="str">
        <f>C107</f>
        <v/>
      </c>
      <c r="D111" s="172"/>
      <c r="E111" s="172"/>
      <c r="F111" s="172"/>
      <c r="G111" s="172"/>
      <c r="H111" s="173"/>
      <c r="I111" s="47" t="str">
        <f>Q111</f>
        <v/>
      </c>
      <c r="J111" s="47" t="str">
        <f>R111</f>
        <v/>
      </c>
      <c r="K111" s="390"/>
      <c r="L111" s="391"/>
      <c r="M111" s="391"/>
      <c r="N111" s="391"/>
      <c r="O111" s="391"/>
      <c r="Q111" s="32" t="str">
        <f>IF(C111="bye",2,S111)</f>
        <v/>
      </c>
      <c r="R111" s="32" t="str">
        <f>IF(C111="bye",0,T111)</f>
        <v/>
      </c>
      <c r="S111" s="112" t="str">
        <f>IF(D111="","",((IF(D111&gt;0,1,0)+IF(E111&gt;0,1,0)+IF(F111&gt;0,1,0)+IF(G111&gt;0,1,0)+IF(H111&gt;0,1,0))))</f>
        <v/>
      </c>
      <c r="T111" s="112" t="str">
        <f>IF(D111="","",IF(D111&gt;0,0,1)+IF(E111="",0,IF(E111&gt;0,0,1))+IF(F111="",0,IF(F111&gt;0,0,1))+IF(G111="",0,IF(G111&gt;0,0,1))+IF(H111="",0,IF(H111&gt;0,0,1)))</f>
        <v/>
      </c>
    </row>
    <row r="112" spans="1:20" x14ac:dyDescent="0.2">
      <c r="A112" s="38" t="s">
        <v>262</v>
      </c>
      <c r="B112" s="32" t="str">
        <f>B107</f>
        <v/>
      </c>
      <c r="C112" s="39" t="str">
        <f>B108</f>
        <v/>
      </c>
      <c r="D112" s="172"/>
      <c r="E112" s="172"/>
      <c r="F112" s="172"/>
      <c r="G112" s="172"/>
      <c r="H112" s="173"/>
      <c r="I112" s="47" t="str">
        <f>IF(D112="","",((IF(D112&gt;0,1,0)+IF(E112&gt;0,1,0)+IF(F112&gt;0,1,0)+IF(G112&gt;0,1,0)+IF(H112&gt;0,1,0))))</f>
        <v/>
      </c>
      <c r="J112" s="47" t="str">
        <f>IF(D112="","",IF(D112&gt;0,0,1)+IF(E112="",0,IF(E112&gt;0,0,1))+IF(F112="",0,IF(F112&gt;0,0,1))+IF(G112="",0,IF(G112&gt;0,0,1))+IF(H112="",0,IF(H112&gt;0,0,1)))</f>
        <v/>
      </c>
      <c r="K112" s="390"/>
      <c r="L112" s="391"/>
      <c r="M112" s="391"/>
      <c r="N112" s="391"/>
      <c r="O112" s="391"/>
    </row>
    <row r="113" spans="1:20" x14ac:dyDescent="0.2">
      <c r="A113" s="50" t="str">
        <f>'1-los'!D37</f>
        <v>skupina B9</v>
      </c>
      <c r="B113" s="167"/>
      <c r="C113" s="31"/>
      <c r="D113" s="31"/>
      <c r="E113" s="31"/>
      <c r="F113" s="31"/>
      <c r="G113" s="31"/>
      <c r="H113" s="31"/>
      <c r="I113" s="31"/>
      <c r="J113" s="31"/>
      <c r="K113" s="171" t="str">
        <f>A113</f>
        <v>skupina B9</v>
      </c>
      <c r="L113" s="168"/>
      <c r="M113" s="168"/>
      <c r="N113" s="168"/>
      <c r="O113" s="168"/>
    </row>
    <row r="114" spans="1:20" x14ac:dyDescent="0.2">
      <c r="A114" s="34" t="s">
        <v>159</v>
      </c>
      <c r="B114" s="33" t="s">
        <v>61</v>
      </c>
      <c r="C114" s="35" t="s">
        <v>62</v>
      </c>
      <c r="D114" s="35"/>
      <c r="E114" s="35"/>
      <c r="F114" s="35"/>
      <c r="G114" s="35"/>
      <c r="H114" s="35"/>
      <c r="I114" s="33"/>
      <c r="J114" s="33"/>
      <c r="K114" s="36" t="s">
        <v>63</v>
      </c>
      <c r="L114" s="169" t="s">
        <v>64</v>
      </c>
      <c r="M114" s="169" t="s">
        <v>65</v>
      </c>
      <c r="N114" s="169" t="s">
        <v>66</v>
      </c>
      <c r="O114" s="169" t="s">
        <v>57</v>
      </c>
    </row>
    <row r="115" spans="1:20" x14ac:dyDescent="0.2">
      <c r="A115" s="38" t="s">
        <v>263</v>
      </c>
      <c r="B115" s="32" t="str">
        <f>'1-los'!E38</f>
        <v/>
      </c>
      <c r="C115" s="39" t="str">
        <f>'1-los'!E41</f>
        <v/>
      </c>
      <c r="D115" s="172"/>
      <c r="E115" s="172"/>
      <c r="F115" s="172"/>
      <c r="G115" s="172"/>
      <c r="H115" s="173"/>
      <c r="I115" s="47" t="str">
        <f>Q115</f>
        <v/>
      </c>
      <c r="J115" s="47" t="str">
        <f>R115</f>
        <v/>
      </c>
      <c r="K115" s="32" t="str">
        <f>calc1!BX144</f>
        <v/>
      </c>
      <c r="L115" s="170">
        <f>calc1!BZ144</f>
        <v>0</v>
      </c>
      <c r="M115" s="170">
        <f>calc1!CB144</f>
        <v>0</v>
      </c>
      <c r="N115" s="170" t="str">
        <f>calc1!CF144</f>
        <v>0:0</v>
      </c>
      <c r="O115" s="170">
        <f>calc1!CE144</f>
        <v>0</v>
      </c>
      <c r="Q115" s="32" t="str">
        <f>IF(C115="bye",2,S115)</f>
        <v/>
      </c>
      <c r="R115" s="32" t="str">
        <f>IF(C115="bye",0,T115)</f>
        <v/>
      </c>
      <c r="S115" s="112" t="str">
        <f>IF(D115="","",((IF(D115&gt;0,1,0)+IF(E115&gt;0,1,0)+IF(F115&gt;0,1,0)+IF(G115&gt;0,1,0)+IF(H115&gt;0,1,0))))</f>
        <v/>
      </c>
      <c r="T115" s="112" t="str">
        <f>IF(D115="","",IF(D115&gt;0,0,1)+IF(E115="",0,IF(E115&gt;0,0,1))+IF(F115="",0,IF(F115&gt;0,0,1))+IF(G115="",0,IF(G115&gt;0,0,1))+IF(H115="",0,IF(H115&gt;0,0,1)))</f>
        <v/>
      </c>
    </row>
    <row r="116" spans="1:20" x14ac:dyDescent="0.2">
      <c r="A116" s="38" t="s">
        <v>264</v>
      </c>
      <c r="B116" s="32" t="str">
        <f>'1-los'!E39</f>
        <v/>
      </c>
      <c r="C116" s="39" t="str">
        <f>'1-los'!E40</f>
        <v/>
      </c>
      <c r="D116" s="172"/>
      <c r="E116" s="172"/>
      <c r="F116" s="172"/>
      <c r="G116" s="172"/>
      <c r="H116" s="173"/>
      <c r="I116" s="47" t="str">
        <f>IF(D116="","",((IF(D116&gt;0,1,0)+IF(E116&gt;0,1,0)+IF(F116&gt;0,1,0)+IF(G116&gt;0,1,0)+IF(H116&gt;0,1,0))))</f>
        <v/>
      </c>
      <c r="J116" s="47" t="str">
        <f>IF(D116="","",IF(D116&gt;0,0,1)+IF(E116="",0,IF(E116&gt;0,0,1))+IF(F116="",0,IF(F116&gt;0,0,1))+IF(G116="",0,IF(G116&gt;0,0,1))+IF(H116="",0,IF(H116&gt;0,0,1)))</f>
        <v/>
      </c>
      <c r="K116" s="32" t="str">
        <f>calc1!BX145</f>
        <v/>
      </c>
      <c r="L116" s="170">
        <f>calc1!BZ145</f>
        <v>0</v>
      </c>
      <c r="M116" s="170">
        <f>calc1!CB145</f>
        <v>0</v>
      </c>
      <c r="N116" s="170" t="str">
        <f>calc1!CF145</f>
        <v>0:0</v>
      </c>
      <c r="O116" s="170">
        <f>calc1!CE145</f>
        <v>0</v>
      </c>
    </row>
    <row r="117" spans="1:20" x14ac:dyDescent="0.2">
      <c r="A117" s="38" t="s">
        <v>265</v>
      </c>
      <c r="B117" s="32" t="str">
        <f>C115</f>
        <v/>
      </c>
      <c r="C117" s="39" t="str">
        <f>B116</f>
        <v/>
      </c>
      <c r="D117" s="172"/>
      <c r="E117" s="172"/>
      <c r="F117" s="172"/>
      <c r="G117" s="172"/>
      <c r="H117" s="173"/>
      <c r="I117" s="47" t="str">
        <f>Q117</f>
        <v/>
      </c>
      <c r="J117" s="47" t="str">
        <f>R117</f>
        <v/>
      </c>
      <c r="K117" s="32" t="str">
        <f>calc1!BX146</f>
        <v/>
      </c>
      <c r="L117" s="170">
        <f>calc1!BZ146</f>
        <v>0</v>
      </c>
      <c r="M117" s="170">
        <f>calc1!CB146</f>
        <v>0</v>
      </c>
      <c r="N117" s="170" t="str">
        <f>calc1!CF146</f>
        <v>0:0</v>
      </c>
      <c r="O117" s="170">
        <f>calc1!CE146</f>
        <v>0</v>
      </c>
      <c r="Q117" s="32" t="str">
        <f>IF(B117="bye",0,S117)</f>
        <v/>
      </c>
      <c r="R117" s="32" t="str">
        <f>IF(B117="bye",2,T117)</f>
        <v/>
      </c>
      <c r="S117" s="112" t="str">
        <f>IF(D117="","",((IF(D117&gt;0,1,0)+IF(E117&gt;0,1,0)+IF(F117&gt;0,1,0)+IF(G117&gt;0,1,0)+IF(H117&gt;0,1,0))))</f>
        <v/>
      </c>
      <c r="T117" s="112" t="str">
        <f>IF(D117="","",IF(D117&gt;0,0,1)+IF(E117="",0,IF(E117&gt;0,0,1))+IF(F117="",0,IF(F117&gt;0,0,1))+IF(G117="",0,IF(G117&gt;0,0,1))+IF(H117="",0,IF(H117&gt;0,0,1)))</f>
        <v/>
      </c>
    </row>
    <row r="118" spans="1:20" x14ac:dyDescent="0.2">
      <c r="A118" s="38" t="s">
        <v>266</v>
      </c>
      <c r="B118" s="32" t="str">
        <f>C116</f>
        <v/>
      </c>
      <c r="C118" s="39" t="str">
        <f>B115</f>
        <v/>
      </c>
      <c r="D118" s="172"/>
      <c r="E118" s="172"/>
      <c r="F118" s="172"/>
      <c r="G118" s="172"/>
      <c r="H118" s="173"/>
      <c r="I118" s="47" t="str">
        <f>IF(D118="","",((IF(D118&gt;0,1,0)+IF(E118&gt;0,1,0)+IF(F118&gt;0,1,0)+IF(G118&gt;0,1,0)+IF(H118&gt;0,1,0))))</f>
        <v/>
      </c>
      <c r="J118" s="47" t="str">
        <f>IF(D118="","",IF(D118&gt;0,0,1)+IF(E118="",0,IF(E118&gt;0,0,1))+IF(F118="",0,IF(F118&gt;0,0,1))+IF(G118="",0,IF(G118&gt;0,0,1))+IF(H118="",0,IF(H118&gt;0,0,1)))</f>
        <v/>
      </c>
      <c r="K118" s="32" t="str">
        <f>calc1!BX147</f>
        <v/>
      </c>
      <c r="L118" s="170">
        <f>calc1!BZ147</f>
        <v>0</v>
      </c>
      <c r="M118" s="170">
        <f>calc1!CB147</f>
        <v>0</v>
      </c>
      <c r="N118" s="170" t="str">
        <f>calc1!CF147</f>
        <v>0:0</v>
      </c>
      <c r="O118" s="170">
        <f>calc1!CE147</f>
        <v>0</v>
      </c>
    </row>
    <row r="119" spans="1:20" x14ac:dyDescent="0.2">
      <c r="A119" s="38" t="s">
        <v>267</v>
      </c>
      <c r="B119" s="32" t="str">
        <f>C116</f>
        <v/>
      </c>
      <c r="C119" s="39" t="str">
        <f>C115</f>
        <v/>
      </c>
      <c r="D119" s="172"/>
      <c r="E119" s="172"/>
      <c r="F119" s="172"/>
      <c r="G119" s="172"/>
      <c r="H119" s="173"/>
      <c r="I119" s="47" t="str">
        <f>Q119</f>
        <v/>
      </c>
      <c r="J119" s="47" t="str">
        <f>R119</f>
        <v/>
      </c>
      <c r="K119" s="390"/>
      <c r="L119" s="391"/>
      <c r="M119" s="391"/>
      <c r="N119" s="391"/>
      <c r="O119" s="391"/>
      <c r="Q119" s="32" t="str">
        <f>IF(C119="bye",2,S119)</f>
        <v/>
      </c>
      <c r="R119" s="32" t="str">
        <f>IF(C119="bye",0,T119)</f>
        <v/>
      </c>
      <c r="S119" s="112" t="str">
        <f>IF(D119="","",((IF(D119&gt;0,1,0)+IF(E119&gt;0,1,0)+IF(F119&gt;0,1,0)+IF(G119&gt;0,1,0)+IF(H119&gt;0,1,0))))</f>
        <v/>
      </c>
      <c r="T119" s="112" t="str">
        <f>IF(D119="","",IF(D119&gt;0,0,1)+IF(E119="",0,IF(E119&gt;0,0,1))+IF(F119="",0,IF(F119&gt;0,0,1))+IF(G119="",0,IF(G119&gt;0,0,1))+IF(H119="",0,IF(H119&gt;0,0,1)))</f>
        <v/>
      </c>
    </row>
    <row r="120" spans="1:20" x14ac:dyDescent="0.2">
      <c r="A120" s="38" t="s">
        <v>268</v>
      </c>
      <c r="B120" s="32" t="str">
        <f>B115</f>
        <v/>
      </c>
      <c r="C120" s="39" t="str">
        <f>B116</f>
        <v/>
      </c>
      <c r="D120" s="172"/>
      <c r="E120" s="172"/>
      <c r="F120" s="172"/>
      <c r="G120" s="172"/>
      <c r="H120" s="173"/>
      <c r="I120" s="47" t="str">
        <f>IF(D120="","",((IF(D120&gt;0,1,0)+IF(E120&gt;0,1,0)+IF(F120&gt;0,1,0)+IF(G120&gt;0,1,0)+IF(H120&gt;0,1,0))))</f>
        <v/>
      </c>
      <c r="J120" s="47" t="str">
        <f>IF(D120="","",IF(D120&gt;0,0,1)+IF(E120="",0,IF(E120&gt;0,0,1))+IF(F120="",0,IF(F120&gt;0,0,1))+IF(G120="",0,IF(G120&gt;0,0,1))+IF(H120="",0,IF(H120&gt;0,0,1)))</f>
        <v/>
      </c>
      <c r="K120" s="390"/>
      <c r="L120" s="391"/>
      <c r="M120" s="391"/>
      <c r="N120" s="391"/>
      <c r="O120" s="391"/>
    </row>
    <row r="121" spans="1:20" x14ac:dyDescent="0.2">
      <c r="A121" s="50" t="str">
        <f>'1-los'!F37</f>
        <v>skupina B10</v>
      </c>
      <c r="B121" s="167"/>
      <c r="C121" s="31"/>
      <c r="D121" s="31"/>
      <c r="E121" s="31"/>
      <c r="F121" s="31"/>
      <c r="G121" s="31"/>
      <c r="H121" s="31"/>
      <c r="I121" s="31"/>
      <c r="J121" s="31"/>
      <c r="K121" s="171" t="str">
        <f>A121</f>
        <v>skupina B10</v>
      </c>
      <c r="L121" s="168"/>
      <c r="M121" s="168"/>
      <c r="N121" s="168"/>
      <c r="O121" s="168"/>
    </row>
    <row r="122" spans="1:20" x14ac:dyDescent="0.2">
      <c r="A122" s="34" t="s">
        <v>159</v>
      </c>
      <c r="B122" s="33" t="s">
        <v>61</v>
      </c>
      <c r="C122" s="35" t="s">
        <v>62</v>
      </c>
      <c r="D122" s="35"/>
      <c r="E122" s="35"/>
      <c r="F122" s="35"/>
      <c r="G122" s="35"/>
      <c r="H122" s="35"/>
      <c r="I122" s="33"/>
      <c r="J122" s="33"/>
      <c r="K122" s="36" t="s">
        <v>63</v>
      </c>
      <c r="L122" s="169" t="s">
        <v>64</v>
      </c>
      <c r="M122" s="169" t="s">
        <v>65</v>
      </c>
      <c r="N122" s="169" t="s">
        <v>66</v>
      </c>
      <c r="O122" s="169" t="s">
        <v>57</v>
      </c>
    </row>
    <row r="123" spans="1:20" x14ac:dyDescent="0.2">
      <c r="A123" s="38" t="s">
        <v>269</v>
      </c>
      <c r="B123" s="32" t="str">
        <f>'1-los'!G38</f>
        <v/>
      </c>
      <c r="C123" s="39" t="str">
        <f>'1-los'!G41</f>
        <v/>
      </c>
      <c r="D123" s="172"/>
      <c r="E123" s="172"/>
      <c r="F123" s="172"/>
      <c r="G123" s="172"/>
      <c r="H123" s="173"/>
      <c r="I123" s="47" t="str">
        <f>Q123</f>
        <v/>
      </c>
      <c r="J123" s="47" t="str">
        <f>R123</f>
        <v/>
      </c>
      <c r="K123" s="32" t="str">
        <f>calc1!BX154</f>
        <v/>
      </c>
      <c r="L123" s="170">
        <f>calc1!BZ154</f>
        <v>0</v>
      </c>
      <c r="M123" s="170">
        <f>calc1!CB154</f>
        <v>0</v>
      </c>
      <c r="N123" s="170" t="str">
        <f>calc1!CF154</f>
        <v>0:0</v>
      </c>
      <c r="O123" s="170">
        <f>calc1!CE154</f>
        <v>0</v>
      </c>
      <c r="Q123" s="32" t="str">
        <f>IF(C123="bye",2,S123)</f>
        <v/>
      </c>
      <c r="R123" s="32" t="str">
        <f>IF(C123="bye",0,T123)</f>
        <v/>
      </c>
      <c r="S123" s="112" t="str">
        <f>IF(D123="","",((IF(D123&gt;0,1,0)+IF(E123&gt;0,1,0)+IF(F123&gt;0,1,0)+IF(G123&gt;0,1,0)+IF(H123&gt;0,1,0))))</f>
        <v/>
      </c>
      <c r="T123" s="112" t="str">
        <f>IF(D123="","",IF(D123&gt;0,0,1)+IF(E123="",0,IF(E123&gt;0,0,1))+IF(F123="",0,IF(F123&gt;0,0,1))+IF(G123="",0,IF(G123&gt;0,0,1))+IF(H123="",0,IF(H123&gt;0,0,1)))</f>
        <v/>
      </c>
    </row>
    <row r="124" spans="1:20" x14ac:dyDescent="0.2">
      <c r="A124" s="38" t="s">
        <v>270</v>
      </c>
      <c r="B124" s="32" t="str">
        <f>'1-los'!G39</f>
        <v/>
      </c>
      <c r="C124" s="39" t="str">
        <f>'1-los'!G40</f>
        <v/>
      </c>
      <c r="D124" s="172"/>
      <c r="E124" s="172"/>
      <c r="F124" s="172"/>
      <c r="G124" s="172"/>
      <c r="H124" s="173"/>
      <c r="I124" s="47" t="str">
        <f>IF(D124="","",((IF(D124&gt;0,1,0)+IF(E124&gt;0,1,0)+IF(F124&gt;0,1,0)+IF(G124&gt;0,1,0)+IF(H124&gt;0,1,0))))</f>
        <v/>
      </c>
      <c r="J124" s="47" t="str">
        <f>IF(D124="","",IF(D124&gt;0,0,1)+IF(E124="",0,IF(E124&gt;0,0,1))+IF(F124="",0,IF(F124&gt;0,0,1))+IF(G124="",0,IF(G124&gt;0,0,1))+IF(H124="",0,IF(H124&gt;0,0,1)))</f>
        <v/>
      </c>
      <c r="K124" s="32" t="str">
        <f>calc1!BX155</f>
        <v/>
      </c>
      <c r="L124" s="170">
        <f>calc1!BZ155</f>
        <v>0</v>
      </c>
      <c r="M124" s="170">
        <f>calc1!CB155</f>
        <v>0</v>
      </c>
      <c r="N124" s="170" t="str">
        <f>calc1!CF155</f>
        <v>0:0</v>
      </c>
      <c r="O124" s="170">
        <f>calc1!CE155</f>
        <v>0</v>
      </c>
    </row>
    <row r="125" spans="1:20" x14ac:dyDescent="0.2">
      <c r="A125" s="38" t="s">
        <v>271</v>
      </c>
      <c r="B125" s="32" t="str">
        <f>C123</f>
        <v/>
      </c>
      <c r="C125" s="39" t="str">
        <f>B124</f>
        <v/>
      </c>
      <c r="D125" s="172"/>
      <c r="E125" s="172"/>
      <c r="F125" s="172"/>
      <c r="G125" s="172"/>
      <c r="H125" s="173"/>
      <c r="I125" s="47" t="str">
        <f>Q125</f>
        <v/>
      </c>
      <c r="J125" s="47" t="str">
        <f>R125</f>
        <v/>
      </c>
      <c r="K125" s="32" t="str">
        <f>calc1!BX156</f>
        <v/>
      </c>
      <c r="L125" s="170">
        <f>calc1!BZ156</f>
        <v>0</v>
      </c>
      <c r="M125" s="170">
        <f>calc1!CB156</f>
        <v>0</v>
      </c>
      <c r="N125" s="170" t="str">
        <f>calc1!CF156</f>
        <v>0:0</v>
      </c>
      <c r="O125" s="170">
        <f>calc1!CE156</f>
        <v>0</v>
      </c>
      <c r="Q125" s="32" t="str">
        <f>IF(B125="bye",0,S125)</f>
        <v/>
      </c>
      <c r="R125" s="32" t="str">
        <f>IF(B125="bye",2,T125)</f>
        <v/>
      </c>
      <c r="S125" s="112" t="str">
        <f>IF(D125="","",((IF(D125&gt;0,1,0)+IF(E125&gt;0,1,0)+IF(F125&gt;0,1,0)+IF(G125&gt;0,1,0)+IF(H125&gt;0,1,0))))</f>
        <v/>
      </c>
      <c r="T125" s="112" t="str">
        <f>IF(D125="","",IF(D125&gt;0,0,1)+IF(E125="",0,IF(E125&gt;0,0,1))+IF(F125="",0,IF(F125&gt;0,0,1))+IF(G125="",0,IF(G125&gt;0,0,1))+IF(H125="",0,IF(H125&gt;0,0,1)))</f>
        <v/>
      </c>
    </row>
    <row r="126" spans="1:20" x14ac:dyDescent="0.2">
      <c r="A126" s="38" t="s">
        <v>272</v>
      </c>
      <c r="B126" s="32" t="str">
        <f>C124</f>
        <v/>
      </c>
      <c r="C126" s="39" t="str">
        <f>B123</f>
        <v/>
      </c>
      <c r="D126" s="172"/>
      <c r="E126" s="172"/>
      <c r="F126" s="172"/>
      <c r="G126" s="172"/>
      <c r="H126" s="173"/>
      <c r="I126" s="47" t="str">
        <f>IF(D126="","",((IF(D126&gt;0,1,0)+IF(E126&gt;0,1,0)+IF(F126&gt;0,1,0)+IF(G126&gt;0,1,0)+IF(H126&gt;0,1,0))))</f>
        <v/>
      </c>
      <c r="J126" s="47" t="str">
        <f>IF(D126="","",IF(D126&gt;0,0,1)+IF(E126="",0,IF(E126&gt;0,0,1))+IF(F126="",0,IF(F126&gt;0,0,1))+IF(G126="",0,IF(G126&gt;0,0,1))+IF(H126="",0,IF(H126&gt;0,0,1)))</f>
        <v/>
      </c>
      <c r="K126" s="32" t="str">
        <f>calc1!BX157</f>
        <v/>
      </c>
      <c r="L126" s="170">
        <f>calc1!BZ157</f>
        <v>0</v>
      </c>
      <c r="M126" s="170">
        <f>calc1!CB157</f>
        <v>0</v>
      </c>
      <c r="N126" s="170" t="str">
        <f>calc1!CF157</f>
        <v>0:0</v>
      </c>
      <c r="O126" s="170">
        <f>calc1!CE157</f>
        <v>0</v>
      </c>
    </row>
    <row r="127" spans="1:20" x14ac:dyDescent="0.2">
      <c r="A127" s="38" t="s">
        <v>273</v>
      </c>
      <c r="B127" s="32" t="str">
        <f>C124</f>
        <v/>
      </c>
      <c r="C127" s="39" t="str">
        <f>C123</f>
        <v/>
      </c>
      <c r="D127" s="172"/>
      <c r="E127" s="172"/>
      <c r="F127" s="172"/>
      <c r="G127" s="172"/>
      <c r="H127" s="173"/>
      <c r="I127" s="47" t="str">
        <f>Q127</f>
        <v/>
      </c>
      <c r="J127" s="47" t="str">
        <f>R127</f>
        <v/>
      </c>
      <c r="K127" s="390"/>
      <c r="L127" s="391"/>
      <c r="M127" s="391"/>
      <c r="N127" s="391"/>
      <c r="O127" s="391"/>
      <c r="Q127" s="32" t="str">
        <f>IF(C127="bye",2,S127)</f>
        <v/>
      </c>
      <c r="R127" s="32" t="str">
        <f>IF(C127="bye",0,T127)</f>
        <v/>
      </c>
      <c r="S127" s="112" t="str">
        <f>IF(D127="","",((IF(D127&gt;0,1,0)+IF(E127&gt;0,1,0)+IF(F127&gt;0,1,0)+IF(G127&gt;0,1,0)+IF(H127&gt;0,1,0))))</f>
        <v/>
      </c>
      <c r="T127" s="112" t="str">
        <f>IF(D127="","",IF(D127&gt;0,0,1)+IF(E127="",0,IF(E127&gt;0,0,1))+IF(F127="",0,IF(F127&gt;0,0,1))+IF(G127="",0,IF(G127&gt;0,0,1))+IF(H127="",0,IF(H127&gt;0,0,1)))</f>
        <v/>
      </c>
    </row>
    <row r="128" spans="1:20" x14ac:dyDescent="0.2">
      <c r="A128" s="38" t="s">
        <v>274</v>
      </c>
      <c r="B128" s="32" t="str">
        <f>B123</f>
        <v/>
      </c>
      <c r="C128" s="39" t="str">
        <f>B124</f>
        <v/>
      </c>
      <c r="D128" s="172"/>
      <c r="E128" s="172"/>
      <c r="F128" s="172"/>
      <c r="G128" s="172"/>
      <c r="H128" s="173"/>
      <c r="I128" s="47" t="str">
        <f>IF(D128="","",((IF(D128&gt;0,1,0)+IF(E128&gt;0,1,0)+IF(F128&gt;0,1,0)+IF(G128&gt;0,1,0)+IF(H128&gt;0,1,0))))</f>
        <v/>
      </c>
      <c r="J128" s="47" t="str">
        <f>IF(D128="","",IF(D128&gt;0,0,1)+IF(E128="",0,IF(E128&gt;0,0,1))+IF(F128="",0,IF(F128&gt;0,0,1))+IF(G128="",0,IF(G128&gt;0,0,1))+IF(H128="",0,IF(H128&gt;0,0,1)))</f>
        <v/>
      </c>
      <c r="K128" s="390"/>
      <c r="L128" s="391"/>
      <c r="M128" s="391"/>
      <c r="N128" s="391"/>
      <c r="O128" s="391"/>
    </row>
    <row r="129" spans="1:20" x14ac:dyDescent="0.2">
      <c r="A129" s="50" t="str">
        <f>'1-los'!D42</f>
        <v>skupina B11</v>
      </c>
      <c r="B129" s="167"/>
      <c r="C129" s="31"/>
      <c r="D129" s="31"/>
      <c r="E129" s="31"/>
      <c r="F129" s="31"/>
      <c r="G129" s="31"/>
      <c r="H129" s="31"/>
      <c r="I129" s="31"/>
      <c r="J129" s="31"/>
      <c r="K129" s="171" t="str">
        <f>A129</f>
        <v>skupina B11</v>
      </c>
      <c r="L129" s="168"/>
      <c r="M129" s="168"/>
      <c r="N129" s="168"/>
      <c r="O129" s="168"/>
    </row>
    <row r="130" spans="1:20" x14ac:dyDescent="0.2">
      <c r="A130" s="34" t="s">
        <v>159</v>
      </c>
      <c r="B130" s="33" t="s">
        <v>61</v>
      </c>
      <c r="C130" s="35" t="s">
        <v>62</v>
      </c>
      <c r="D130" s="35"/>
      <c r="E130" s="35"/>
      <c r="F130" s="35"/>
      <c r="G130" s="35"/>
      <c r="H130" s="35"/>
      <c r="I130" s="33"/>
      <c r="J130" s="33"/>
      <c r="K130" s="36" t="s">
        <v>63</v>
      </c>
      <c r="L130" s="169" t="s">
        <v>64</v>
      </c>
      <c r="M130" s="169" t="s">
        <v>65</v>
      </c>
      <c r="N130" s="169" t="s">
        <v>66</v>
      </c>
      <c r="O130" s="169" t="s">
        <v>57</v>
      </c>
    </row>
    <row r="131" spans="1:20" x14ac:dyDescent="0.2">
      <c r="A131" s="38" t="s">
        <v>275</v>
      </c>
      <c r="B131" s="32" t="str">
        <f>'1-los'!E43</f>
        <v/>
      </c>
      <c r="C131" s="39" t="str">
        <f>'1-los'!E46</f>
        <v/>
      </c>
      <c r="D131" s="172"/>
      <c r="E131" s="172"/>
      <c r="F131" s="172"/>
      <c r="G131" s="172"/>
      <c r="H131" s="173"/>
      <c r="I131" s="47" t="str">
        <f>Q131</f>
        <v/>
      </c>
      <c r="J131" s="47" t="str">
        <f>R131</f>
        <v/>
      </c>
      <c r="K131" s="32">
        <f>calc1!BX160</f>
        <v>0</v>
      </c>
      <c r="L131" s="170">
        <f>calc1!BZ160</f>
        <v>0</v>
      </c>
      <c r="M131" s="170">
        <f>calc1!CB160</f>
        <v>0</v>
      </c>
      <c r="N131" s="170">
        <f>calc1!CF160</f>
        <v>0</v>
      </c>
      <c r="O131" s="170">
        <f>calc1!CE160</f>
        <v>0</v>
      </c>
      <c r="Q131" s="32" t="str">
        <f>IF(C131="bye",2,S131)</f>
        <v/>
      </c>
      <c r="R131" s="32" t="str">
        <f>IF(C131="bye",0,T131)</f>
        <v/>
      </c>
      <c r="S131" s="112" t="str">
        <f>IF(D131="","",((IF(D131&gt;0,1,0)+IF(E131&gt;0,1,0)+IF(F131&gt;0,1,0)+IF(G131&gt;0,1,0)+IF(H131&gt;0,1,0))))</f>
        <v/>
      </c>
      <c r="T131" s="112" t="str">
        <f>IF(D131="","",IF(D131&gt;0,0,1)+IF(E131="",0,IF(E131&gt;0,0,1))+IF(F131="",0,IF(F131&gt;0,0,1))+IF(G131="",0,IF(G131&gt;0,0,1))+IF(H131="",0,IF(H131&gt;0,0,1)))</f>
        <v/>
      </c>
    </row>
    <row r="132" spans="1:20" x14ac:dyDescent="0.2">
      <c r="A132" s="38" t="s">
        <v>276</v>
      </c>
      <c r="B132" s="32" t="str">
        <f>'1-los'!E44</f>
        <v/>
      </c>
      <c r="C132" s="39" t="str">
        <f>'1-los'!E45</f>
        <v/>
      </c>
      <c r="D132" s="172"/>
      <c r="E132" s="172"/>
      <c r="F132" s="172"/>
      <c r="G132" s="172"/>
      <c r="H132" s="173"/>
      <c r="I132" s="47" t="str">
        <f>IF(D132="","",((IF(D132&gt;0,1,0)+IF(E132&gt;0,1,0)+IF(F132&gt;0,1,0)+IF(G132&gt;0,1,0)+IF(H132&gt;0,1,0))))</f>
        <v/>
      </c>
      <c r="J132" s="47" t="str">
        <f>IF(D132="","",IF(D132&gt;0,0,1)+IF(E132="",0,IF(E132&gt;0,0,1))+IF(F132="",0,IF(F132&gt;0,0,1))+IF(G132="",0,IF(G132&gt;0,0,1))+IF(H132="",0,IF(H132&gt;0,0,1)))</f>
        <v/>
      </c>
      <c r="K132" s="32">
        <f>calc1!BX161</f>
        <v>0</v>
      </c>
      <c r="L132" s="170">
        <f>calc1!BZ161</f>
        <v>0</v>
      </c>
      <c r="M132" s="170">
        <f>calc1!CB161</f>
        <v>0</v>
      </c>
      <c r="N132" s="170">
        <f>calc1!CF161</f>
        <v>0</v>
      </c>
      <c r="O132" s="170">
        <f>calc1!CE161</f>
        <v>0</v>
      </c>
    </row>
    <row r="133" spans="1:20" x14ac:dyDescent="0.2">
      <c r="A133" s="38" t="s">
        <v>277</v>
      </c>
      <c r="B133" s="32" t="str">
        <f>C131</f>
        <v/>
      </c>
      <c r="C133" s="39" t="str">
        <f>B132</f>
        <v/>
      </c>
      <c r="D133" s="172"/>
      <c r="E133" s="172"/>
      <c r="F133" s="172"/>
      <c r="G133" s="172"/>
      <c r="H133" s="173"/>
      <c r="I133" s="47" t="str">
        <f>Q133</f>
        <v/>
      </c>
      <c r="J133" s="47" t="str">
        <f>R133</f>
        <v/>
      </c>
      <c r="K133" s="32">
        <f>calc1!BX162</f>
        <v>0</v>
      </c>
      <c r="L133" s="170">
        <f>calc1!BZ162</f>
        <v>0</v>
      </c>
      <c r="M133" s="170">
        <f>calc1!CB162</f>
        <v>0</v>
      </c>
      <c r="N133" s="170">
        <f>calc1!CF162</f>
        <v>0</v>
      </c>
      <c r="O133" s="170">
        <f>calc1!CE162</f>
        <v>0</v>
      </c>
      <c r="Q133" s="32" t="str">
        <f>IF(B133="bye",0,S133)</f>
        <v/>
      </c>
      <c r="R133" s="32" t="str">
        <f>IF(B133="bye",2,T133)</f>
        <v/>
      </c>
      <c r="S133" s="112" t="str">
        <f>IF(D133="","",((IF(D133&gt;0,1,0)+IF(E133&gt;0,1,0)+IF(F133&gt;0,1,0)+IF(G133&gt;0,1,0)+IF(H133&gt;0,1,0))))</f>
        <v/>
      </c>
      <c r="T133" s="112" t="str">
        <f>IF(D133="","",IF(D133&gt;0,0,1)+IF(E133="",0,IF(E133&gt;0,0,1))+IF(F133="",0,IF(F133&gt;0,0,1))+IF(G133="",0,IF(G133&gt;0,0,1))+IF(H133="",0,IF(H133&gt;0,0,1)))</f>
        <v/>
      </c>
    </row>
    <row r="134" spans="1:20" x14ac:dyDescent="0.2">
      <c r="A134" s="38" t="s">
        <v>278</v>
      </c>
      <c r="B134" s="32" t="str">
        <f>C132</f>
        <v/>
      </c>
      <c r="C134" s="39" t="str">
        <f>B131</f>
        <v/>
      </c>
      <c r="D134" s="172"/>
      <c r="E134" s="172"/>
      <c r="F134" s="172"/>
      <c r="G134" s="172"/>
      <c r="H134" s="173"/>
      <c r="I134" s="47" t="str">
        <f>IF(D134="","",((IF(D134&gt;0,1,0)+IF(E134&gt;0,1,0)+IF(F134&gt;0,1,0)+IF(G134&gt;0,1,0)+IF(H134&gt;0,1,0))))</f>
        <v/>
      </c>
      <c r="J134" s="47" t="str">
        <f>IF(D134="","",IF(D134&gt;0,0,1)+IF(E134="",0,IF(E134&gt;0,0,1))+IF(F134="",0,IF(F134&gt;0,0,1))+IF(G134="",0,IF(G134&gt;0,0,1))+IF(H134="",0,IF(H134&gt;0,0,1)))</f>
        <v/>
      </c>
      <c r="K134" s="32">
        <f>calc1!BX163</f>
        <v>0</v>
      </c>
      <c r="L134" s="170">
        <f>calc1!BZ163</f>
        <v>0</v>
      </c>
      <c r="M134" s="170">
        <f>calc1!CB163</f>
        <v>0</v>
      </c>
      <c r="N134" s="170">
        <f>calc1!CF163</f>
        <v>0</v>
      </c>
      <c r="O134" s="170">
        <f>calc1!CE163</f>
        <v>0</v>
      </c>
    </row>
    <row r="135" spans="1:20" x14ac:dyDescent="0.2">
      <c r="A135" s="38" t="s">
        <v>279</v>
      </c>
      <c r="B135" s="32" t="str">
        <f>C132</f>
        <v/>
      </c>
      <c r="C135" s="39" t="str">
        <f>C131</f>
        <v/>
      </c>
      <c r="D135" s="172"/>
      <c r="E135" s="172"/>
      <c r="F135" s="172"/>
      <c r="G135" s="172"/>
      <c r="H135" s="173"/>
      <c r="I135" s="47" t="str">
        <f>Q135</f>
        <v/>
      </c>
      <c r="J135" s="47" t="str">
        <f>R135</f>
        <v/>
      </c>
      <c r="K135" s="390"/>
      <c r="L135" s="391"/>
      <c r="M135" s="391"/>
      <c r="N135" s="391"/>
      <c r="O135" s="391"/>
      <c r="Q135" s="32" t="str">
        <f>IF(C135="bye",2,S135)</f>
        <v/>
      </c>
      <c r="R135" s="32" t="str">
        <f>IF(C135="bye",0,T135)</f>
        <v/>
      </c>
      <c r="S135" s="112" t="str">
        <f>IF(D135="","",((IF(D135&gt;0,1,0)+IF(E135&gt;0,1,0)+IF(F135&gt;0,1,0)+IF(G135&gt;0,1,0)+IF(H135&gt;0,1,0))))</f>
        <v/>
      </c>
      <c r="T135" s="112" t="str">
        <f>IF(D135="","",IF(D135&gt;0,0,1)+IF(E135="",0,IF(E135&gt;0,0,1))+IF(F135="",0,IF(F135&gt;0,0,1))+IF(G135="",0,IF(G135&gt;0,0,1))+IF(H135="",0,IF(H135&gt;0,0,1)))</f>
        <v/>
      </c>
    </row>
    <row r="136" spans="1:20" x14ac:dyDescent="0.2">
      <c r="A136" s="38" t="s">
        <v>280</v>
      </c>
      <c r="B136" s="32" t="str">
        <f>B131</f>
        <v/>
      </c>
      <c r="C136" s="39" t="str">
        <f>B132</f>
        <v/>
      </c>
      <c r="D136" s="172"/>
      <c r="E136" s="172"/>
      <c r="F136" s="172"/>
      <c r="G136" s="172"/>
      <c r="H136" s="173"/>
      <c r="I136" s="47" t="str">
        <f>IF(D136="","",((IF(D136&gt;0,1,0)+IF(E136&gt;0,1,0)+IF(F136&gt;0,1,0)+IF(G136&gt;0,1,0)+IF(H136&gt;0,1,0))))</f>
        <v/>
      </c>
      <c r="J136" s="47" t="str">
        <f>IF(D136="","",IF(D136&gt;0,0,1)+IF(E136="",0,IF(E136&gt;0,0,1))+IF(F136="",0,IF(F136&gt;0,0,1))+IF(G136="",0,IF(G136&gt;0,0,1))+IF(H136="",0,IF(H136&gt;0,0,1)))</f>
        <v/>
      </c>
      <c r="K136" s="390"/>
      <c r="L136" s="391"/>
      <c r="M136" s="391"/>
      <c r="N136" s="391"/>
      <c r="O136" s="391"/>
    </row>
    <row r="137" spans="1:20" x14ac:dyDescent="0.2">
      <c r="A137" s="50" t="str">
        <f>'1-los'!F42</f>
        <v>skupina B12</v>
      </c>
      <c r="B137" s="167"/>
      <c r="C137" s="31"/>
      <c r="D137" s="31"/>
      <c r="E137" s="31"/>
      <c r="F137" s="31"/>
      <c r="G137" s="31"/>
      <c r="H137" s="31"/>
      <c r="I137" s="31"/>
      <c r="J137" s="31"/>
      <c r="K137" s="171" t="str">
        <f>A137</f>
        <v>skupina B12</v>
      </c>
      <c r="L137" s="168"/>
      <c r="M137" s="168"/>
      <c r="N137" s="168"/>
      <c r="O137" s="168"/>
    </row>
    <row r="138" spans="1:20" x14ac:dyDescent="0.2">
      <c r="A138" s="34" t="s">
        <v>159</v>
      </c>
      <c r="B138" s="33" t="s">
        <v>61</v>
      </c>
      <c r="C138" s="35" t="s">
        <v>62</v>
      </c>
      <c r="D138" s="35"/>
      <c r="E138" s="35"/>
      <c r="F138" s="35"/>
      <c r="G138" s="35"/>
      <c r="H138" s="35"/>
      <c r="I138" s="33"/>
      <c r="J138" s="33"/>
      <c r="K138" s="36" t="s">
        <v>63</v>
      </c>
      <c r="L138" s="169" t="s">
        <v>64</v>
      </c>
      <c r="M138" s="169" t="s">
        <v>65</v>
      </c>
      <c r="N138" s="169" t="s">
        <v>66</v>
      </c>
      <c r="O138" s="169" t="s">
        <v>57</v>
      </c>
    </row>
    <row r="139" spans="1:20" x14ac:dyDescent="0.2">
      <c r="A139" s="38" t="s">
        <v>281</v>
      </c>
      <c r="B139" s="32" t="str">
        <f>'1-los'!G43</f>
        <v/>
      </c>
      <c r="C139" s="39" t="str">
        <f>'1-los'!G46</f>
        <v/>
      </c>
      <c r="D139" s="172"/>
      <c r="E139" s="172"/>
      <c r="F139" s="172"/>
      <c r="G139" s="172"/>
      <c r="H139" s="173"/>
      <c r="I139" s="47" t="str">
        <f>Q139</f>
        <v/>
      </c>
      <c r="J139" s="47" t="str">
        <f>R139</f>
        <v/>
      </c>
      <c r="K139" s="32">
        <f>calc1!BX170</f>
        <v>0</v>
      </c>
      <c r="L139" s="170">
        <f>calc1!BZ170</f>
        <v>0</v>
      </c>
      <c r="M139" s="170">
        <f>calc1!CB170</f>
        <v>0</v>
      </c>
      <c r="N139" s="170">
        <f>calc1!CF170</f>
        <v>0</v>
      </c>
      <c r="O139" s="170">
        <f>calc1!CE170</f>
        <v>0</v>
      </c>
      <c r="Q139" s="32" t="str">
        <f>IF(C139="bye",2,S139)</f>
        <v/>
      </c>
      <c r="R139" s="32" t="str">
        <f>IF(C139="bye",0,T139)</f>
        <v/>
      </c>
      <c r="S139" s="112" t="str">
        <f>IF(D139="","",((IF(D139&gt;0,1,0)+IF(E139&gt;0,1,0)+IF(F139&gt;0,1,0)+IF(G139&gt;0,1,0)+IF(H139&gt;0,1,0))))</f>
        <v/>
      </c>
      <c r="T139" s="112" t="str">
        <f>IF(D139="","",IF(D139&gt;0,0,1)+IF(E139="",0,IF(E139&gt;0,0,1))+IF(F139="",0,IF(F139&gt;0,0,1))+IF(G139="",0,IF(G139&gt;0,0,1))+IF(H139="",0,IF(H139&gt;0,0,1)))</f>
        <v/>
      </c>
    </row>
    <row r="140" spans="1:20" x14ac:dyDescent="0.2">
      <c r="A140" s="38" t="s">
        <v>282</v>
      </c>
      <c r="B140" s="32" t="str">
        <f>'1-los'!G44</f>
        <v/>
      </c>
      <c r="C140" s="39" t="str">
        <f>'1-los'!G45</f>
        <v/>
      </c>
      <c r="D140" s="172"/>
      <c r="E140" s="172"/>
      <c r="F140" s="172"/>
      <c r="G140" s="172"/>
      <c r="H140" s="173"/>
      <c r="I140" s="47" t="str">
        <f>IF(D140="","",((IF(D140&gt;0,1,0)+IF(E140&gt;0,1,0)+IF(F140&gt;0,1,0)+IF(G140&gt;0,1,0)+IF(H140&gt;0,1,0))))</f>
        <v/>
      </c>
      <c r="J140" s="47" t="str">
        <f>IF(D140="","",IF(D140&gt;0,0,1)+IF(E140="",0,IF(E140&gt;0,0,1))+IF(F140="",0,IF(F140&gt;0,0,1))+IF(G140="",0,IF(G140&gt;0,0,1))+IF(H140="",0,IF(H140&gt;0,0,1)))</f>
        <v/>
      </c>
      <c r="K140" s="32">
        <f>calc1!BX171</f>
        <v>0</v>
      </c>
      <c r="L140" s="170">
        <f>calc1!BZ171</f>
        <v>0</v>
      </c>
      <c r="M140" s="170">
        <f>calc1!CB171</f>
        <v>0</v>
      </c>
      <c r="N140" s="170">
        <f>calc1!CF171</f>
        <v>0</v>
      </c>
      <c r="O140" s="170">
        <f>calc1!CE171</f>
        <v>0</v>
      </c>
    </row>
    <row r="141" spans="1:20" x14ac:dyDescent="0.2">
      <c r="A141" s="38" t="s">
        <v>283</v>
      </c>
      <c r="B141" s="32" t="str">
        <f>C139</f>
        <v/>
      </c>
      <c r="C141" s="39" t="str">
        <f>B140</f>
        <v/>
      </c>
      <c r="D141" s="172"/>
      <c r="E141" s="172"/>
      <c r="F141" s="172"/>
      <c r="G141" s="172"/>
      <c r="H141" s="173"/>
      <c r="I141" s="47" t="str">
        <f>Q141</f>
        <v/>
      </c>
      <c r="J141" s="47" t="str">
        <f>R141</f>
        <v/>
      </c>
      <c r="K141" s="32">
        <f>calc1!BX172</f>
        <v>0</v>
      </c>
      <c r="L141" s="170">
        <f>calc1!BZ172</f>
        <v>0</v>
      </c>
      <c r="M141" s="170">
        <f>calc1!CB172</f>
        <v>0</v>
      </c>
      <c r="N141" s="170">
        <f>calc1!CF172</f>
        <v>0</v>
      </c>
      <c r="O141" s="170">
        <f>calc1!CE172</f>
        <v>0</v>
      </c>
      <c r="Q141" s="32" t="str">
        <f>IF(B141="bye",0,S141)</f>
        <v/>
      </c>
      <c r="R141" s="32" t="str">
        <f>IF(B141="bye",2,T141)</f>
        <v/>
      </c>
      <c r="S141" s="112" t="str">
        <f>IF(D141="","",((IF(D141&gt;0,1,0)+IF(E141&gt;0,1,0)+IF(F141&gt;0,1,0)+IF(G141&gt;0,1,0)+IF(H141&gt;0,1,0))))</f>
        <v/>
      </c>
      <c r="T141" s="112" t="str">
        <f>IF(D141="","",IF(D141&gt;0,0,1)+IF(E141="",0,IF(E141&gt;0,0,1))+IF(F141="",0,IF(F141&gt;0,0,1))+IF(G141="",0,IF(G141&gt;0,0,1))+IF(H141="",0,IF(H141&gt;0,0,1)))</f>
        <v/>
      </c>
    </row>
    <row r="142" spans="1:20" x14ac:dyDescent="0.2">
      <c r="A142" s="38" t="s">
        <v>284</v>
      </c>
      <c r="B142" s="32" t="str">
        <f>C140</f>
        <v/>
      </c>
      <c r="C142" s="39" t="str">
        <f>B139</f>
        <v/>
      </c>
      <c r="D142" s="172"/>
      <c r="E142" s="172"/>
      <c r="F142" s="172"/>
      <c r="G142" s="172"/>
      <c r="H142" s="173"/>
      <c r="I142" s="47" t="str">
        <f>IF(D142="","",((IF(D142&gt;0,1,0)+IF(E142&gt;0,1,0)+IF(F142&gt;0,1,0)+IF(G142&gt;0,1,0)+IF(H142&gt;0,1,0))))</f>
        <v/>
      </c>
      <c r="J142" s="47" t="str">
        <f>IF(D142="","",IF(D142&gt;0,0,1)+IF(E142="",0,IF(E142&gt;0,0,1))+IF(F142="",0,IF(F142&gt;0,0,1))+IF(G142="",0,IF(G142&gt;0,0,1))+IF(H142="",0,IF(H142&gt;0,0,1)))</f>
        <v/>
      </c>
      <c r="K142" s="32">
        <f>calc1!BX173</f>
        <v>0</v>
      </c>
      <c r="L142" s="170">
        <f>calc1!BZ173</f>
        <v>0</v>
      </c>
      <c r="M142" s="170">
        <f>calc1!CB173</f>
        <v>0</v>
      </c>
      <c r="N142" s="170">
        <f>calc1!CF173</f>
        <v>0</v>
      </c>
      <c r="O142" s="170">
        <f>calc1!CE173</f>
        <v>0</v>
      </c>
    </row>
    <row r="143" spans="1:20" x14ac:dyDescent="0.2">
      <c r="A143" s="38" t="s">
        <v>285</v>
      </c>
      <c r="B143" s="32" t="str">
        <f>C140</f>
        <v/>
      </c>
      <c r="C143" s="39" t="str">
        <f>C139</f>
        <v/>
      </c>
      <c r="D143" s="172"/>
      <c r="E143" s="172"/>
      <c r="F143" s="172"/>
      <c r="G143" s="172"/>
      <c r="H143" s="173"/>
      <c r="I143" s="47" t="str">
        <f>Q143</f>
        <v/>
      </c>
      <c r="J143" s="47" t="str">
        <f>R143</f>
        <v/>
      </c>
      <c r="K143" s="390"/>
      <c r="L143" s="391"/>
      <c r="M143" s="391"/>
      <c r="N143" s="391"/>
      <c r="O143" s="391"/>
      <c r="Q143" s="32" t="str">
        <f>IF(C143="bye",2,S143)</f>
        <v/>
      </c>
      <c r="R143" s="32" t="str">
        <f>IF(C143="bye",0,T143)</f>
        <v/>
      </c>
      <c r="S143" s="112" t="str">
        <f>IF(D143="","",((IF(D143&gt;0,1,0)+IF(E143&gt;0,1,0)+IF(F143&gt;0,1,0)+IF(G143&gt;0,1,0)+IF(H143&gt;0,1,0))))</f>
        <v/>
      </c>
      <c r="T143" s="112" t="str">
        <f>IF(D143="","",IF(D143&gt;0,0,1)+IF(E143="",0,IF(E143&gt;0,0,1))+IF(F143="",0,IF(F143&gt;0,0,1))+IF(G143="",0,IF(G143&gt;0,0,1))+IF(H143="",0,IF(H143&gt;0,0,1)))</f>
        <v/>
      </c>
    </row>
    <row r="144" spans="1:20" x14ac:dyDescent="0.2">
      <c r="A144" s="38" t="s">
        <v>286</v>
      </c>
      <c r="B144" s="32" t="str">
        <f>B139</f>
        <v/>
      </c>
      <c r="C144" s="39" t="str">
        <f>B140</f>
        <v/>
      </c>
      <c r="D144" s="172"/>
      <c r="E144" s="172"/>
      <c r="F144" s="172"/>
      <c r="G144" s="172"/>
      <c r="H144" s="173"/>
      <c r="I144" s="47" t="str">
        <f>IF(D144="","",((IF(D144&gt;0,1,0)+IF(E144&gt;0,1,0)+IF(F144&gt;0,1,0)+IF(G144&gt;0,1,0)+IF(H144&gt;0,1,0))))</f>
        <v/>
      </c>
      <c r="J144" s="47" t="str">
        <f>IF(D144="","",IF(D144&gt;0,0,1)+IF(E144="",0,IF(E144&gt;0,0,1))+IF(F144="",0,IF(F144&gt;0,0,1))+IF(G144="",0,IF(G144&gt;0,0,1))+IF(H144="",0,IF(H144&gt;0,0,1)))</f>
        <v/>
      </c>
      <c r="K144" s="390"/>
      <c r="L144" s="391"/>
      <c r="M144" s="391"/>
      <c r="N144" s="391"/>
      <c r="O144" s="391"/>
    </row>
    <row r="145" spans="1:20" x14ac:dyDescent="0.2">
      <c r="A145" s="50" t="str">
        <f>'1-los'!D47</f>
        <v>skupina B13</v>
      </c>
      <c r="B145" s="167"/>
      <c r="C145" s="31"/>
      <c r="D145" s="31"/>
      <c r="E145" s="31"/>
      <c r="F145" s="31"/>
      <c r="G145" s="31"/>
      <c r="H145" s="31"/>
      <c r="I145" s="31"/>
      <c r="J145" s="31"/>
      <c r="K145" s="171" t="str">
        <f>A145</f>
        <v>skupina B13</v>
      </c>
      <c r="L145" s="168"/>
      <c r="M145" s="168"/>
      <c r="N145" s="168"/>
      <c r="O145" s="168"/>
    </row>
    <row r="146" spans="1:20" x14ac:dyDescent="0.2">
      <c r="A146" s="34" t="s">
        <v>159</v>
      </c>
      <c r="B146" s="33" t="s">
        <v>61</v>
      </c>
      <c r="C146" s="35" t="s">
        <v>62</v>
      </c>
      <c r="D146" s="35"/>
      <c r="E146" s="35"/>
      <c r="F146" s="35"/>
      <c r="G146" s="35"/>
      <c r="H146" s="35"/>
      <c r="I146" s="33"/>
      <c r="J146" s="33"/>
      <c r="K146" s="36" t="s">
        <v>63</v>
      </c>
      <c r="L146" s="169" t="s">
        <v>64</v>
      </c>
      <c r="M146" s="169" t="s">
        <v>65</v>
      </c>
      <c r="N146" s="169" t="s">
        <v>66</v>
      </c>
      <c r="O146" s="169" t="s">
        <v>57</v>
      </c>
    </row>
    <row r="147" spans="1:20" x14ac:dyDescent="0.2">
      <c r="A147" s="38" t="s">
        <v>287</v>
      </c>
      <c r="B147" s="32" t="str">
        <f>'1-los'!E48</f>
        <v/>
      </c>
      <c r="C147" s="39" t="str">
        <f>'1-los'!E51</f>
        <v/>
      </c>
      <c r="D147" s="172"/>
      <c r="E147" s="172"/>
      <c r="F147" s="172"/>
      <c r="G147" s="172"/>
      <c r="H147" s="173"/>
      <c r="I147" s="47" t="str">
        <f>Q147</f>
        <v/>
      </c>
      <c r="J147" s="47" t="str">
        <f>R147</f>
        <v/>
      </c>
      <c r="K147" s="32">
        <f>calc1!BX176</f>
        <v>0</v>
      </c>
      <c r="L147" s="170">
        <f>calc1!BZ176</f>
        <v>0</v>
      </c>
      <c r="M147" s="170">
        <f>calc1!CB176</f>
        <v>0</v>
      </c>
      <c r="N147" s="170">
        <f>calc1!CF176</f>
        <v>0</v>
      </c>
      <c r="O147" s="170">
        <f>calc1!CE176</f>
        <v>0</v>
      </c>
      <c r="Q147" s="32" t="str">
        <f>IF(C147="bye",2,S147)</f>
        <v/>
      </c>
      <c r="R147" s="32" t="str">
        <f>IF(C147="bye",0,T147)</f>
        <v/>
      </c>
      <c r="S147" s="112" t="str">
        <f>IF(D147="","",((IF(D147&gt;0,1,0)+IF(E147&gt;0,1,0)+IF(F147&gt;0,1,0)+IF(G147&gt;0,1,0)+IF(H147&gt;0,1,0))))</f>
        <v/>
      </c>
      <c r="T147" s="112" t="str">
        <f>IF(D147="","",IF(D147&gt;0,0,1)+IF(E147="",0,IF(E147&gt;0,0,1))+IF(F147="",0,IF(F147&gt;0,0,1))+IF(G147="",0,IF(G147&gt;0,0,1))+IF(H147="",0,IF(H147&gt;0,0,1)))</f>
        <v/>
      </c>
    </row>
    <row r="148" spans="1:20" x14ac:dyDescent="0.2">
      <c r="A148" s="38" t="s">
        <v>288</v>
      </c>
      <c r="B148" s="32" t="str">
        <f>'1-los'!E49</f>
        <v/>
      </c>
      <c r="C148" s="39" t="str">
        <f>'1-los'!E50</f>
        <v/>
      </c>
      <c r="D148" s="172"/>
      <c r="E148" s="172"/>
      <c r="F148" s="172"/>
      <c r="G148" s="172"/>
      <c r="H148" s="173"/>
      <c r="I148" s="47" t="str">
        <f>IF(D148="","",((IF(D148&gt;0,1,0)+IF(E148&gt;0,1,0)+IF(F148&gt;0,1,0)+IF(G148&gt;0,1,0)+IF(H148&gt;0,1,0))))</f>
        <v/>
      </c>
      <c r="J148" s="47" t="str">
        <f>IF(D148="","",IF(D148&gt;0,0,1)+IF(E148="",0,IF(E148&gt;0,0,1))+IF(F148="",0,IF(F148&gt;0,0,1))+IF(G148="",0,IF(G148&gt;0,0,1))+IF(H148="",0,IF(H148&gt;0,0,1)))</f>
        <v/>
      </c>
      <c r="K148" s="32">
        <f>calc1!BX177</f>
        <v>0</v>
      </c>
      <c r="L148" s="170">
        <f>calc1!BZ177</f>
        <v>0</v>
      </c>
      <c r="M148" s="170">
        <f>calc1!CB177</f>
        <v>0</v>
      </c>
      <c r="N148" s="170">
        <f>calc1!CF177</f>
        <v>0</v>
      </c>
      <c r="O148" s="170">
        <f>calc1!CE177</f>
        <v>0</v>
      </c>
    </row>
    <row r="149" spans="1:20" x14ac:dyDescent="0.2">
      <c r="A149" s="38" t="s">
        <v>289</v>
      </c>
      <c r="B149" s="32" t="str">
        <f>C147</f>
        <v/>
      </c>
      <c r="C149" s="39" t="str">
        <f>B148</f>
        <v/>
      </c>
      <c r="D149" s="172"/>
      <c r="E149" s="172"/>
      <c r="F149" s="172"/>
      <c r="G149" s="172"/>
      <c r="H149" s="173"/>
      <c r="I149" s="47" t="str">
        <f>Q149</f>
        <v/>
      </c>
      <c r="J149" s="47" t="str">
        <f>R149</f>
        <v/>
      </c>
      <c r="K149" s="32">
        <f>calc1!BX178</f>
        <v>0</v>
      </c>
      <c r="L149" s="170">
        <f>calc1!BZ178</f>
        <v>0</v>
      </c>
      <c r="M149" s="170">
        <f>calc1!CB178</f>
        <v>0</v>
      </c>
      <c r="N149" s="170">
        <f>calc1!CF178</f>
        <v>0</v>
      </c>
      <c r="O149" s="170">
        <f>calc1!CE178</f>
        <v>0</v>
      </c>
      <c r="Q149" s="32" t="str">
        <f>IF(B149="bye",0,S149)</f>
        <v/>
      </c>
      <c r="R149" s="32" t="str">
        <f>IF(B149="bye",2,T149)</f>
        <v/>
      </c>
      <c r="S149" s="112" t="str">
        <f>IF(D149="","",((IF(D149&gt;0,1,0)+IF(E149&gt;0,1,0)+IF(F149&gt;0,1,0)+IF(G149&gt;0,1,0)+IF(H149&gt;0,1,0))))</f>
        <v/>
      </c>
      <c r="T149" s="112" t="str">
        <f>IF(D149="","",IF(D149&gt;0,0,1)+IF(E149="",0,IF(E149&gt;0,0,1))+IF(F149="",0,IF(F149&gt;0,0,1))+IF(G149="",0,IF(G149&gt;0,0,1))+IF(H149="",0,IF(H149&gt;0,0,1)))</f>
        <v/>
      </c>
    </row>
    <row r="150" spans="1:20" x14ac:dyDescent="0.2">
      <c r="A150" s="38" t="s">
        <v>290</v>
      </c>
      <c r="B150" s="32" t="str">
        <f>C148</f>
        <v/>
      </c>
      <c r="C150" s="39" t="str">
        <f>B147</f>
        <v/>
      </c>
      <c r="D150" s="172"/>
      <c r="E150" s="172"/>
      <c r="F150" s="172"/>
      <c r="G150" s="172"/>
      <c r="H150" s="173"/>
      <c r="I150" s="47" t="str">
        <f>IF(D150="","",((IF(D150&gt;0,1,0)+IF(E150&gt;0,1,0)+IF(F150&gt;0,1,0)+IF(G150&gt;0,1,0)+IF(H150&gt;0,1,0))))</f>
        <v/>
      </c>
      <c r="J150" s="47" t="str">
        <f>IF(D150="","",IF(D150&gt;0,0,1)+IF(E150="",0,IF(E150&gt;0,0,1))+IF(F150="",0,IF(F150&gt;0,0,1))+IF(G150="",0,IF(G150&gt;0,0,1))+IF(H150="",0,IF(H150&gt;0,0,1)))</f>
        <v/>
      </c>
      <c r="K150" s="32">
        <f>calc1!BX179</f>
        <v>0</v>
      </c>
      <c r="L150" s="170">
        <f>calc1!BZ179</f>
        <v>0</v>
      </c>
      <c r="M150" s="170">
        <f>calc1!CB179</f>
        <v>0</v>
      </c>
      <c r="N150" s="170">
        <f>calc1!CF179</f>
        <v>0</v>
      </c>
      <c r="O150" s="170">
        <f>calc1!CE179</f>
        <v>0</v>
      </c>
    </row>
    <row r="151" spans="1:20" x14ac:dyDescent="0.2">
      <c r="A151" s="38" t="s">
        <v>291</v>
      </c>
      <c r="B151" s="32" t="str">
        <f>C148</f>
        <v/>
      </c>
      <c r="C151" s="39" t="str">
        <f>C147</f>
        <v/>
      </c>
      <c r="D151" s="172"/>
      <c r="E151" s="172"/>
      <c r="F151" s="172"/>
      <c r="G151" s="172"/>
      <c r="H151" s="173"/>
      <c r="I151" s="47" t="str">
        <f>Q151</f>
        <v/>
      </c>
      <c r="J151" s="47" t="str">
        <f>R151</f>
        <v/>
      </c>
      <c r="K151" s="390"/>
      <c r="L151" s="391"/>
      <c r="M151" s="391"/>
      <c r="N151" s="391"/>
      <c r="O151" s="391"/>
      <c r="Q151" s="32" t="str">
        <f>IF(C151="bye",2,S151)</f>
        <v/>
      </c>
      <c r="R151" s="32" t="str">
        <f>IF(C151="bye",0,T151)</f>
        <v/>
      </c>
      <c r="S151" s="112" t="str">
        <f>IF(D151="","",((IF(D151&gt;0,1,0)+IF(E151&gt;0,1,0)+IF(F151&gt;0,1,0)+IF(G151&gt;0,1,0)+IF(H151&gt;0,1,0))))</f>
        <v/>
      </c>
      <c r="T151" s="112" t="str">
        <f>IF(D151="","",IF(D151&gt;0,0,1)+IF(E151="",0,IF(E151&gt;0,0,1))+IF(F151="",0,IF(F151&gt;0,0,1))+IF(G151="",0,IF(G151&gt;0,0,1))+IF(H151="",0,IF(H151&gt;0,0,1)))</f>
        <v/>
      </c>
    </row>
    <row r="152" spans="1:20" x14ac:dyDescent="0.2">
      <c r="A152" s="38" t="s">
        <v>292</v>
      </c>
      <c r="B152" s="32" t="str">
        <f>B147</f>
        <v/>
      </c>
      <c r="C152" s="39" t="str">
        <f>B148</f>
        <v/>
      </c>
      <c r="D152" s="172"/>
      <c r="E152" s="172"/>
      <c r="F152" s="172"/>
      <c r="G152" s="172"/>
      <c r="H152" s="173"/>
      <c r="I152" s="47" t="str">
        <f>IF(D152="","",((IF(D152&gt;0,1,0)+IF(E152&gt;0,1,0)+IF(F152&gt;0,1,0)+IF(G152&gt;0,1,0)+IF(H152&gt;0,1,0))))</f>
        <v/>
      </c>
      <c r="J152" s="47" t="str">
        <f>IF(D152="","",IF(D152&gt;0,0,1)+IF(E152="",0,IF(E152&gt;0,0,1))+IF(F152="",0,IF(F152&gt;0,0,1))+IF(G152="",0,IF(G152&gt;0,0,1))+IF(H152="",0,IF(H152&gt;0,0,1)))</f>
        <v/>
      </c>
      <c r="K152" s="390"/>
      <c r="L152" s="391"/>
      <c r="M152" s="391"/>
      <c r="N152" s="391"/>
      <c r="O152" s="391"/>
    </row>
    <row r="153" spans="1:20" x14ac:dyDescent="0.2">
      <c r="A153" s="50" t="str">
        <f>'1-los'!F47</f>
        <v>skupina B14</v>
      </c>
      <c r="B153" s="167"/>
      <c r="C153" s="31"/>
      <c r="D153" s="31"/>
      <c r="E153" s="31"/>
      <c r="F153" s="31"/>
      <c r="G153" s="31"/>
      <c r="H153" s="31"/>
      <c r="I153" s="31"/>
      <c r="J153" s="31"/>
      <c r="K153" s="171" t="str">
        <f>A153</f>
        <v>skupina B14</v>
      </c>
      <c r="L153" s="168"/>
      <c r="M153" s="168"/>
      <c r="N153" s="168"/>
      <c r="O153" s="168"/>
    </row>
    <row r="154" spans="1:20" x14ac:dyDescent="0.2">
      <c r="A154" s="34" t="s">
        <v>159</v>
      </c>
      <c r="B154" s="33" t="s">
        <v>61</v>
      </c>
      <c r="C154" s="35" t="s">
        <v>62</v>
      </c>
      <c r="D154" s="35"/>
      <c r="E154" s="35"/>
      <c r="F154" s="35"/>
      <c r="G154" s="35"/>
      <c r="H154" s="35"/>
      <c r="I154" s="33"/>
      <c r="J154" s="33"/>
      <c r="K154" s="36" t="s">
        <v>63</v>
      </c>
      <c r="L154" s="169" t="s">
        <v>64</v>
      </c>
      <c r="M154" s="169" t="s">
        <v>65</v>
      </c>
      <c r="N154" s="169" t="s">
        <v>66</v>
      </c>
      <c r="O154" s="169" t="s">
        <v>57</v>
      </c>
    </row>
    <row r="155" spans="1:20" x14ac:dyDescent="0.2">
      <c r="A155" s="38" t="s">
        <v>293</v>
      </c>
      <c r="B155" s="32" t="str">
        <f>'1-los'!G48</f>
        <v/>
      </c>
      <c r="C155" s="39" t="str">
        <f>'1-los'!G51</f>
        <v/>
      </c>
      <c r="D155" s="172"/>
      <c r="E155" s="172"/>
      <c r="F155" s="172"/>
      <c r="G155" s="172"/>
      <c r="H155" s="173"/>
      <c r="I155" s="47" t="str">
        <f>Q155</f>
        <v/>
      </c>
      <c r="J155" s="47" t="str">
        <f>R155</f>
        <v/>
      </c>
      <c r="K155" s="32">
        <f>calc1!BX186</f>
        <v>0</v>
      </c>
      <c r="L155" s="170">
        <f>calc1!BZ186</f>
        <v>0</v>
      </c>
      <c r="M155" s="170">
        <f>calc1!CB186</f>
        <v>0</v>
      </c>
      <c r="N155" s="170">
        <f>calc1!CF186</f>
        <v>0</v>
      </c>
      <c r="O155" s="170">
        <f>calc1!CE186</f>
        <v>0</v>
      </c>
      <c r="Q155" s="32" t="str">
        <f>IF(C155="bye",2,S155)</f>
        <v/>
      </c>
      <c r="R155" s="32" t="str">
        <f>IF(C155="bye",0,T155)</f>
        <v/>
      </c>
      <c r="S155" s="112" t="str">
        <f>IF(D155="","",((IF(D155&gt;0,1,0)+IF(E155&gt;0,1,0)+IF(F155&gt;0,1,0)+IF(G155&gt;0,1,0)+IF(H155&gt;0,1,0))))</f>
        <v/>
      </c>
      <c r="T155" s="112" t="str">
        <f>IF(D155="","",IF(D155&gt;0,0,1)+IF(E155="",0,IF(E155&gt;0,0,1))+IF(F155="",0,IF(F155&gt;0,0,1))+IF(G155="",0,IF(G155&gt;0,0,1))+IF(H155="",0,IF(H155&gt;0,0,1)))</f>
        <v/>
      </c>
    </row>
    <row r="156" spans="1:20" x14ac:dyDescent="0.2">
      <c r="A156" s="38" t="s">
        <v>294</v>
      </c>
      <c r="B156" s="32" t="str">
        <f>'1-los'!G49</f>
        <v/>
      </c>
      <c r="C156" s="39" t="str">
        <f>'1-los'!G50</f>
        <v/>
      </c>
      <c r="D156" s="172"/>
      <c r="E156" s="172"/>
      <c r="F156" s="172"/>
      <c r="G156" s="172"/>
      <c r="H156" s="173"/>
      <c r="I156" s="47" t="str">
        <f>IF(D156="","",((IF(D156&gt;0,1,0)+IF(E156&gt;0,1,0)+IF(F156&gt;0,1,0)+IF(G156&gt;0,1,0)+IF(H156&gt;0,1,0))))</f>
        <v/>
      </c>
      <c r="J156" s="47" t="str">
        <f>IF(D156="","",IF(D156&gt;0,0,1)+IF(E156="",0,IF(E156&gt;0,0,1))+IF(F156="",0,IF(F156&gt;0,0,1))+IF(G156="",0,IF(G156&gt;0,0,1))+IF(H156="",0,IF(H156&gt;0,0,1)))</f>
        <v/>
      </c>
      <c r="K156" s="32">
        <f>calc1!BX187</f>
        <v>0</v>
      </c>
      <c r="L156" s="170">
        <f>calc1!BZ187</f>
        <v>0</v>
      </c>
      <c r="M156" s="170">
        <f>calc1!CB187</f>
        <v>0</v>
      </c>
      <c r="N156" s="170">
        <f>calc1!CF187</f>
        <v>0</v>
      </c>
      <c r="O156" s="170">
        <f>calc1!CE187</f>
        <v>0</v>
      </c>
    </row>
    <row r="157" spans="1:20" x14ac:dyDescent="0.2">
      <c r="A157" s="38" t="s">
        <v>295</v>
      </c>
      <c r="B157" s="32" t="str">
        <f>C155</f>
        <v/>
      </c>
      <c r="C157" s="39" t="str">
        <f>B156</f>
        <v/>
      </c>
      <c r="D157" s="172"/>
      <c r="E157" s="172"/>
      <c r="F157" s="172"/>
      <c r="G157" s="172"/>
      <c r="H157" s="173"/>
      <c r="I157" s="47" t="str">
        <f>Q157</f>
        <v/>
      </c>
      <c r="J157" s="47" t="str">
        <f>R157</f>
        <v/>
      </c>
      <c r="K157" s="32">
        <f>calc1!BX188</f>
        <v>0</v>
      </c>
      <c r="L157" s="170">
        <f>calc1!BZ188</f>
        <v>0</v>
      </c>
      <c r="M157" s="170">
        <f>calc1!CB188</f>
        <v>0</v>
      </c>
      <c r="N157" s="170">
        <f>calc1!CF188</f>
        <v>0</v>
      </c>
      <c r="O157" s="170">
        <f>calc1!CE188</f>
        <v>0</v>
      </c>
      <c r="Q157" s="32" t="str">
        <f>IF(B157="bye",0,S157)</f>
        <v/>
      </c>
      <c r="R157" s="32" t="str">
        <f>IF(B157="bye",2,T157)</f>
        <v/>
      </c>
      <c r="S157" s="112" t="str">
        <f>IF(D157="","",((IF(D157&gt;0,1,0)+IF(E157&gt;0,1,0)+IF(F157&gt;0,1,0)+IF(G157&gt;0,1,0)+IF(H157&gt;0,1,0))))</f>
        <v/>
      </c>
      <c r="T157" s="112" t="str">
        <f>IF(D157="","",IF(D157&gt;0,0,1)+IF(E157="",0,IF(E157&gt;0,0,1))+IF(F157="",0,IF(F157&gt;0,0,1))+IF(G157="",0,IF(G157&gt;0,0,1))+IF(H157="",0,IF(H157&gt;0,0,1)))</f>
        <v/>
      </c>
    </row>
    <row r="158" spans="1:20" x14ac:dyDescent="0.2">
      <c r="A158" s="38" t="s">
        <v>296</v>
      </c>
      <c r="B158" s="32" t="str">
        <f>C156</f>
        <v/>
      </c>
      <c r="C158" s="39" t="str">
        <f>B155</f>
        <v/>
      </c>
      <c r="D158" s="172"/>
      <c r="E158" s="172"/>
      <c r="F158" s="172"/>
      <c r="G158" s="172"/>
      <c r="H158" s="173"/>
      <c r="I158" s="47" t="str">
        <f>IF(D158="","",((IF(D158&gt;0,1,0)+IF(E158&gt;0,1,0)+IF(F158&gt;0,1,0)+IF(G158&gt;0,1,0)+IF(H158&gt;0,1,0))))</f>
        <v/>
      </c>
      <c r="J158" s="47" t="str">
        <f>IF(D158="","",IF(D158&gt;0,0,1)+IF(E158="",0,IF(E158&gt;0,0,1))+IF(F158="",0,IF(F158&gt;0,0,1))+IF(G158="",0,IF(G158&gt;0,0,1))+IF(H158="",0,IF(H158&gt;0,0,1)))</f>
        <v/>
      </c>
      <c r="K158" s="32">
        <f>calc1!BX189</f>
        <v>0</v>
      </c>
      <c r="L158" s="170">
        <f>calc1!BZ189</f>
        <v>0</v>
      </c>
      <c r="M158" s="170">
        <f>calc1!CB189</f>
        <v>0</v>
      </c>
      <c r="N158" s="170">
        <f>calc1!CF189</f>
        <v>0</v>
      </c>
      <c r="O158" s="170">
        <f>calc1!CE189</f>
        <v>0</v>
      </c>
    </row>
    <row r="159" spans="1:20" x14ac:dyDescent="0.2">
      <c r="A159" s="38" t="s">
        <v>297</v>
      </c>
      <c r="B159" s="32" t="str">
        <f>C156</f>
        <v/>
      </c>
      <c r="C159" s="39" t="str">
        <f>C155</f>
        <v/>
      </c>
      <c r="D159" s="172"/>
      <c r="E159" s="172"/>
      <c r="F159" s="172"/>
      <c r="G159" s="172"/>
      <c r="H159" s="173"/>
      <c r="I159" s="47" t="str">
        <f>Q159</f>
        <v/>
      </c>
      <c r="J159" s="47" t="str">
        <f>R159</f>
        <v/>
      </c>
      <c r="K159" s="390"/>
      <c r="L159" s="391"/>
      <c r="M159" s="391"/>
      <c r="N159" s="391"/>
      <c r="O159" s="391"/>
      <c r="Q159" s="32" t="str">
        <f>IF(C159="bye",2,S159)</f>
        <v/>
      </c>
      <c r="R159" s="32" t="str">
        <f>IF(C159="bye",0,T159)</f>
        <v/>
      </c>
      <c r="S159" s="112" t="str">
        <f>IF(D159="","",((IF(D159&gt;0,1,0)+IF(E159&gt;0,1,0)+IF(F159&gt;0,1,0)+IF(G159&gt;0,1,0)+IF(H159&gt;0,1,0))))</f>
        <v/>
      </c>
      <c r="T159" s="112" t="str">
        <f>IF(D159="","",IF(D159&gt;0,0,1)+IF(E159="",0,IF(E159&gt;0,0,1))+IF(F159="",0,IF(F159&gt;0,0,1))+IF(G159="",0,IF(G159&gt;0,0,1))+IF(H159="",0,IF(H159&gt;0,0,1)))</f>
        <v/>
      </c>
    </row>
    <row r="160" spans="1:20" x14ac:dyDescent="0.2">
      <c r="A160" s="38" t="s">
        <v>298</v>
      </c>
      <c r="B160" s="32" t="str">
        <f>B155</f>
        <v/>
      </c>
      <c r="C160" s="39" t="str">
        <f>B156</f>
        <v/>
      </c>
      <c r="D160" s="172"/>
      <c r="E160" s="172"/>
      <c r="F160" s="172"/>
      <c r="G160" s="172"/>
      <c r="H160" s="173"/>
      <c r="I160" s="47" t="str">
        <f>IF(D160="","",((IF(D160&gt;0,1,0)+IF(E160&gt;0,1,0)+IF(F160&gt;0,1,0)+IF(G160&gt;0,1,0)+IF(H160&gt;0,1,0))))</f>
        <v/>
      </c>
      <c r="J160" s="47" t="str">
        <f>IF(D160="","",IF(D160&gt;0,0,1)+IF(E160="",0,IF(E160&gt;0,0,1))+IF(F160="",0,IF(F160&gt;0,0,1))+IF(G160="",0,IF(G160&gt;0,0,1))+IF(H160="",0,IF(H160&gt;0,0,1)))</f>
        <v/>
      </c>
      <c r="K160" s="390"/>
      <c r="L160" s="391"/>
      <c r="M160" s="391"/>
      <c r="N160" s="391"/>
      <c r="O160" s="391"/>
    </row>
  </sheetData>
  <mergeCells count="20">
    <mergeCell ref="K7:O8"/>
    <mergeCell ref="K15:O16"/>
    <mergeCell ref="K23:O24"/>
    <mergeCell ref="K31:O32"/>
    <mergeCell ref="K95:O96"/>
    <mergeCell ref="K87:O88"/>
    <mergeCell ref="K39:O40"/>
    <mergeCell ref="K47:O48"/>
    <mergeCell ref="K55:O56"/>
    <mergeCell ref="K63:O64"/>
    <mergeCell ref="K135:O136"/>
    <mergeCell ref="K143:O144"/>
    <mergeCell ref="K151:O152"/>
    <mergeCell ref="K159:O160"/>
    <mergeCell ref="K71:O72"/>
    <mergeCell ref="K79:O80"/>
    <mergeCell ref="K127:O128"/>
    <mergeCell ref="K119:O120"/>
    <mergeCell ref="K111:O112"/>
    <mergeCell ref="K103:O104"/>
  </mergeCells>
  <printOptions horizontalCentered="1" verticalCentered="1"/>
  <pageMargins left="0.39370078740157483" right="0.39370078740157483" top="0.39370078740157483" bottom="0.39370078740157483" header="0.19685039370078741" footer="0.19685039370078741"/>
  <pageSetup paperSize="9" fitToHeight="0" orientation="portrait" horizontalDpi="360" verticalDpi="300" r:id="rId1"/>
  <headerFooter alignWithMargins="0">
    <oddHeader>&amp;C1. stupeň - zápasy</oddHeader>
    <oddFooter>Stránka &amp;P z &amp;N</oddFooter>
  </headerFooter>
  <rowBreaks count="1" manualBreakCount="1">
    <brk id="64" max="9" man="1"/>
  </rowBreaks>
  <colBreaks count="1" manualBreakCount="1">
    <brk id="10" max="159"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2"/>
  <dimension ref="A1:R63"/>
  <sheetViews>
    <sheetView showGridLines="0" view="pageBreakPreview" topLeftCell="A31" zoomScaleNormal="100" workbookViewId="0">
      <selection activeCell="D34" sqref="D34"/>
    </sheetView>
  </sheetViews>
  <sheetFormatPr defaultRowHeight="12.75" x14ac:dyDescent="0.2"/>
  <cols>
    <col min="1" max="1" width="5.42578125" style="102" bestFit="1" customWidth="1"/>
    <col min="2" max="2" width="5.5703125" style="102" bestFit="1" customWidth="1"/>
    <col min="3" max="3" width="7.42578125" style="102" bestFit="1" customWidth="1"/>
    <col min="4" max="5" width="27.140625" style="89" bestFit="1" customWidth="1"/>
    <col min="6" max="8" width="5.7109375" style="90" bestFit="1" customWidth="1"/>
    <col min="9" max="9" width="8.140625" style="88" bestFit="1" customWidth="1"/>
    <col min="10" max="10" width="5.42578125" style="106" bestFit="1" customWidth="1"/>
    <col min="11" max="11" width="5.5703125" style="106" bestFit="1" customWidth="1"/>
    <col min="12" max="12" width="7.42578125" style="106" bestFit="1" customWidth="1"/>
    <col min="13" max="13" width="25.42578125" style="90" bestFit="1" customWidth="1"/>
    <col min="14" max="14" width="27.140625" style="90" bestFit="1" customWidth="1"/>
    <col min="15" max="17" width="5.7109375" style="90" bestFit="1" customWidth="1"/>
    <col min="18" max="18" width="8.140625" style="88" bestFit="1" customWidth="1"/>
    <col min="19" max="16384" width="9.140625" style="90"/>
  </cols>
  <sheetData>
    <row r="1" spans="1:9" x14ac:dyDescent="0.2">
      <c r="A1" s="103" t="s">
        <v>160</v>
      </c>
      <c r="B1" s="100" t="s">
        <v>60</v>
      </c>
      <c r="C1" s="100" t="s">
        <v>159</v>
      </c>
      <c r="D1" s="94" t="s">
        <v>96</v>
      </c>
      <c r="E1" s="94" t="s">
        <v>97</v>
      </c>
      <c r="F1" s="93" t="s">
        <v>162</v>
      </c>
      <c r="G1" s="93" t="s">
        <v>163</v>
      </c>
      <c r="H1" s="93" t="s">
        <v>164</v>
      </c>
      <c r="I1" s="95" t="s">
        <v>161</v>
      </c>
    </row>
    <row r="2" spans="1:9" ht="25.5" x14ac:dyDescent="0.2">
      <c r="A2" s="104">
        <f>'2-zapasy'!B3</f>
        <v>0</v>
      </c>
      <c r="B2" s="101" t="e">
        <f>'2-zapasy'!C3</f>
        <v>#REF!</v>
      </c>
      <c r="C2" s="107" t="str">
        <f>'2-zapasy'!A3</f>
        <v>2st-1</v>
      </c>
      <c r="D2" s="99" t="str">
        <f>'2-zapasy'!D3</f>
        <v>vítěz skupiny 1A</v>
      </c>
      <c r="E2" s="99" t="str">
        <f>'2-zapasy'!E3</f>
        <v>druhý ze skupiny 1P</v>
      </c>
      <c r="F2" s="96"/>
      <c r="G2" s="96"/>
      <c r="H2" s="96"/>
      <c r="I2" s="145"/>
    </row>
    <row r="3" spans="1:9" ht="26.25" thickBot="1" x14ac:dyDescent="0.25">
      <c r="A3" s="429" t="s">
        <v>165</v>
      </c>
      <c r="B3" s="430"/>
      <c r="C3" s="430"/>
      <c r="D3" s="98"/>
      <c r="E3" s="92" t="s">
        <v>166</v>
      </c>
      <c r="F3" s="438"/>
      <c r="G3" s="438"/>
      <c r="H3" s="438"/>
      <c r="I3" s="439"/>
    </row>
    <row r="4" spans="1:9" ht="13.5" thickBot="1" x14ac:dyDescent="0.25">
      <c r="A4" s="105"/>
    </row>
    <row r="5" spans="1:9" x14ac:dyDescent="0.2">
      <c r="A5" s="103" t="s">
        <v>160</v>
      </c>
      <c r="B5" s="100" t="s">
        <v>60</v>
      </c>
      <c r="C5" s="100" t="s">
        <v>159</v>
      </c>
      <c r="D5" s="94" t="s">
        <v>96</v>
      </c>
      <c r="E5" s="94" t="s">
        <v>97</v>
      </c>
      <c r="F5" s="93" t="s">
        <v>162</v>
      </c>
      <c r="G5" s="93" t="s">
        <v>163</v>
      </c>
      <c r="H5" s="93" t="s">
        <v>164</v>
      </c>
      <c r="I5" s="95" t="s">
        <v>161</v>
      </c>
    </row>
    <row r="6" spans="1:9" ht="25.5" x14ac:dyDescent="0.2">
      <c r="A6" s="104" t="e">
        <f>'2-zapasy'!B4</f>
        <v>#REF!</v>
      </c>
      <c r="B6" s="101" t="e">
        <f>'2-zapasy'!C4</f>
        <v>#REF!</v>
      </c>
      <c r="C6" s="107" t="str">
        <f>'2-zapasy'!A4</f>
        <v>2st-2</v>
      </c>
      <c r="D6" s="99" t="str">
        <f>'2-zapasy'!D4</f>
        <v>HOLUBOVÁ Simona (SKST Hodonín)</v>
      </c>
      <c r="E6" s="99" t="str">
        <f>'2-zapasy'!E4</f>
        <v>druhý ze skupiny 1I</v>
      </c>
      <c r="F6" s="96"/>
      <c r="G6" s="96"/>
      <c r="H6" s="96"/>
      <c r="I6" s="145"/>
    </row>
    <row r="7" spans="1:9" ht="26.25" thickBot="1" x14ac:dyDescent="0.25">
      <c r="A7" s="429" t="s">
        <v>165</v>
      </c>
      <c r="B7" s="430"/>
      <c r="C7" s="430"/>
      <c r="D7" s="98"/>
      <c r="E7" s="92" t="s">
        <v>166</v>
      </c>
      <c r="F7" s="438"/>
      <c r="G7" s="438"/>
      <c r="H7" s="438"/>
      <c r="I7" s="439"/>
    </row>
    <row r="8" spans="1:9" ht="13.5" thickBot="1" x14ac:dyDescent="0.25">
      <c r="A8" s="105"/>
    </row>
    <row r="9" spans="1:9" x14ac:dyDescent="0.2">
      <c r="A9" s="103" t="s">
        <v>160</v>
      </c>
      <c r="B9" s="100" t="s">
        <v>60</v>
      </c>
      <c r="C9" s="100" t="s">
        <v>159</v>
      </c>
      <c r="D9" s="94" t="s">
        <v>96</v>
      </c>
      <c r="E9" s="94" t="s">
        <v>97</v>
      </c>
      <c r="F9" s="93" t="s">
        <v>162</v>
      </c>
      <c r="G9" s="93" t="s">
        <v>163</v>
      </c>
      <c r="H9" s="93" t="s">
        <v>164</v>
      </c>
      <c r="I9" s="95" t="s">
        <v>161</v>
      </c>
    </row>
    <row r="10" spans="1:9" s="91" customFormat="1" ht="25.5" x14ac:dyDescent="0.2">
      <c r="A10" s="104" t="e">
        <f>'2-zapasy'!B5</f>
        <v>#REF!</v>
      </c>
      <c r="B10" s="101" t="e">
        <f>'2-zapasy'!C5</f>
        <v>#REF!</v>
      </c>
      <c r="C10" s="107" t="str">
        <f>'2-zapasy'!A5</f>
        <v>2st-3</v>
      </c>
      <c r="D10" s="99" t="str">
        <f>'2-zapasy'!D5</f>
        <v>MASOPUSTOVÁ Lucie (MSK Břeclav)</v>
      </c>
      <c r="E10" s="99" t="str">
        <f>'2-zapasy'!E5</f>
        <v>druhý ze skupiny 1A</v>
      </c>
      <c r="F10" s="96"/>
      <c r="G10" s="96"/>
      <c r="H10" s="96"/>
      <c r="I10" s="145"/>
    </row>
    <row r="11" spans="1:9" ht="26.25" thickBot="1" x14ac:dyDescent="0.25">
      <c r="A11" s="429" t="s">
        <v>165</v>
      </c>
      <c r="B11" s="430"/>
      <c r="C11" s="430"/>
      <c r="D11" s="98"/>
      <c r="E11" s="92" t="s">
        <v>166</v>
      </c>
      <c r="F11" s="438"/>
      <c r="G11" s="438"/>
      <c r="H11" s="438"/>
      <c r="I11" s="439"/>
    </row>
    <row r="12" spans="1:9" s="91" customFormat="1" ht="13.5" thickBot="1" x14ac:dyDescent="0.25">
      <c r="A12" s="105"/>
      <c r="B12" s="102"/>
      <c r="C12" s="102"/>
      <c r="D12" s="89"/>
      <c r="E12" s="89"/>
      <c r="F12" s="90"/>
      <c r="G12" s="90"/>
      <c r="H12" s="90"/>
      <c r="I12" s="88"/>
    </row>
    <row r="13" spans="1:9" x14ac:dyDescent="0.2">
      <c r="A13" s="103" t="s">
        <v>160</v>
      </c>
      <c r="B13" s="100" t="s">
        <v>60</v>
      </c>
      <c r="C13" s="100" t="s">
        <v>159</v>
      </c>
      <c r="D13" s="94" t="s">
        <v>96</v>
      </c>
      <c r="E13" s="94" t="s">
        <v>97</v>
      </c>
      <c r="F13" s="93" t="s">
        <v>162</v>
      </c>
      <c r="G13" s="93" t="s">
        <v>163</v>
      </c>
      <c r="H13" s="93" t="s">
        <v>164</v>
      </c>
      <c r="I13" s="95" t="s">
        <v>161</v>
      </c>
    </row>
    <row r="14" spans="1:9" ht="25.5" x14ac:dyDescent="0.2">
      <c r="A14" s="104" t="e">
        <f>'2-zapasy'!B6</f>
        <v>#REF!</v>
      </c>
      <c r="B14" s="101" t="e">
        <f>'2-zapasy'!C6</f>
        <v>#REF!</v>
      </c>
      <c r="C14" s="107" t="str">
        <f>'2-zapasy'!A6</f>
        <v>2st-4</v>
      </c>
      <c r="D14" s="99" t="str">
        <f>'2-zapasy'!D6</f>
        <v>LUSKA Petr (KST Vyškov)</v>
      </c>
      <c r="E14" s="99" t="str">
        <f>'2-zapasy'!E6</f>
        <v>PAŘÍZEK Richard (SKST Hodonín)</v>
      </c>
      <c r="F14" s="96"/>
      <c r="G14" s="96"/>
      <c r="H14" s="96"/>
      <c r="I14" s="145"/>
    </row>
    <row r="15" spans="1:9" ht="26.25" thickBot="1" x14ac:dyDescent="0.25">
      <c r="A15" s="429" t="s">
        <v>165</v>
      </c>
      <c r="B15" s="430"/>
      <c r="C15" s="430"/>
      <c r="D15" s="98"/>
      <c r="E15" s="92" t="s">
        <v>166</v>
      </c>
      <c r="F15" s="438"/>
      <c r="G15" s="438"/>
      <c r="H15" s="438"/>
      <c r="I15" s="439"/>
    </row>
    <row r="16" spans="1:9" ht="13.5" thickBot="1" x14ac:dyDescent="0.25">
      <c r="A16" s="105"/>
    </row>
    <row r="17" spans="1:9" x14ac:dyDescent="0.2">
      <c r="A17" s="103" t="s">
        <v>160</v>
      </c>
      <c r="B17" s="100" t="s">
        <v>60</v>
      </c>
      <c r="C17" s="100" t="s">
        <v>159</v>
      </c>
      <c r="D17" s="94" t="s">
        <v>96</v>
      </c>
      <c r="E17" s="94" t="s">
        <v>97</v>
      </c>
      <c r="F17" s="93" t="s">
        <v>162</v>
      </c>
      <c r="G17" s="93" t="s">
        <v>163</v>
      </c>
      <c r="H17" s="93" t="s">
        <v>164</v>
      </c>
      <c r="I17" s="95" t="s">
        <v>161</v>
      </c>
    </row>
    <row r="18" spans="1:9" ht="25.5" x14ac:dyDescent="0.2">
      <c r="A18" s="104" t="e">
        <f>'2-zapasy'!B7</f>
        <v>#REF!</v>
      </c>
      <c r="B18" s="101" t="e">
        <f>'2-zapasy'!C7</f>
        <v>#REF!</v>
      </c>
      <c r="C18" s="107" t="str">
        <f>'2-zapasy'!A7</f>
        <v>2st-5</v>
      </c>
      <c r="D18" s="99" t="str">
        <f>'2-zapasy'!D7</f>
        <v>KRIŠTOF Lukáš (TTC Koral Tišnov)</v>
      </c>
      <c r="E18" s="99" t="str">
        <f>'2-zapasy'!E7</f>
        <v>HORNÍČEK Lukáš (TTC MS Brno)</v>
      </c>
      <c r="F18" s="96"/>
      <c r="G18" s="96"/>
      <c r="H18" s="96"/>
      <c r="I18" s="145"/>
    </row>
    <row r="19" spans="1:9" ht="26.25" thickBot="1" x14ac:dyDescent="0.25">
      <c r="A19" s="429" t="s">
        <v>165</v>
      </c>
      <c r="B19" s="430"/>
      <c r="C19" s="430"/>
      <c r="D19" s="98"/>
      <c r="E19" s="92" t="s">
        <v>166</v>
      </c>
      <c r="F19" s="438"/>
      <c r="G19" s="438"/>
      <c r="H19" s="438"/>
      <c r="I19" s="439"/>
    </row>
    <row r="20" spans="1:9" ht="13.5" thickBot="1" x14ac:dyDescent="0.25">
      <c r="A20" s="105"/>
    </row>
    <row r="21" spans="1:9" x14ac:dyDescent="0.2">
      <c r="A21" s="103" t="s">
        <v>160</v>
      </c>
      <c r="B21" s="100" t="s">
        <v>60</v>
      </c>
      <c r="C21" s="100" t="s">
        <v>159</v>
      </c>
      <c r="D21" s="94" t="s">
        <v>96</v>
      </c>
      <c r="E21" s="94" t="s">
        <v>97</v>
      </c>
      <c r="F21" s="93" t="s">
        <v>162</v>
      </c>
      <c r="G21" s="93" t="s">
        <v>163</v>
      </c>
      <c r="H21" s="93" t="s">
        <v>164</v>
      </c>
      <c r="I21" s="95" t="s">
        <v>161</v>
      </c>
    </row>
    <row r="22" spans="1:9" ht="25.5" x14ac:dyDescent="0.2">
      <c r="A22" s="104" t="e">
        <f>'2-zapasy'!B8</f>
        <v>#REF!</v>
      </c>
      <c r="B22" s="101" t="e">
        <f>'2-zapasy'!C8</f>
        <v>#REF!</v>
      </c>
      <c r="C22" s="107" t="str">
        <f>'2-zapasy'!A8</f>
        <v>2st-6</v>
      </c>
      <c r="D22" s="99" t="str">
        <f>'2-zapasy'!D8</f>
        <v>BUK Lukáš (TTC MS Brno)</v>
      </c>
      <c r="E22" s="99" t="str">
        <f>'2-zapasy'!E8</f>
        <v>druhý ze skupiny 1G</v>
      </c>
      <c r="F22" s="96"/>
      <c r="G22" s="96"/>
      <c r="H22" s="96"/>
      <c r="I22" s="145"/>
    </row>
    <row r="23" spans="1:9" ht="26.25" thickBot="1" x14ac:dyDescent="0.25">
      <c r="A23" s="429" t="s">
        <v>165</v>
      </c>
      <c r="B23" s="430"/>
      <c r="C23" s="430"/>
      <c r="D23" s="98"/>
      <c r="E23" s="92" t="s">
        <v>166</v>
      </c>
      <c r="F23" s="438"/>
      <c r="G23" s="438"/>
      <c r="H23" s="438"/>
      <c r="I23" s="439"/>
    </row>
    <row r="24" spans="1:9" ht="13.5" thickBot="1" x14ac:dyDescent="0.25">
      <c r="A24" s="105"/>
    </row>
    <row r="25" spans="1:9" x14ac:dyDescent="0.2">
      <c r="A25" s="103" t="s">
        <v>160</v>
      </c>
      <c r="B25" s="100" t="s">
        <v>60</v>
      </c>
      <c r="C25" s="100" t="s">
        <v>159</v>
      </c>
      <c r="D25" s="94" t="s">
        <v>96</v>
      </c>
      <c r="E25" s="94" t="s">
        <v>97</v>
      </c>
      <c r="F25" s="93" t="s">
        <v>162</v>
      </c>
      <c r="G25" s="93" t="s">
        <v>163</v>
      </c>
      <c r="H25" s="93" t="s">
        <v>164</v>
      </c>
      <c r="I25" s="95" t="s">
        <v>161</v>
      </c>
    </row>
    <row r="26" spans="1:9" ht="25.5" x14ac:dyDescent="0.2">
      <c r="A26" s="104" t="e">
        <f>'2-zapasy'!B9</f>
        <v>#REF!</v>
      </c>
      <c r="B26" s="101" t="e">
        <f>'2-zapasy'!C9</f>
        <v>#REF!</v>
      </c>
      <c r="C26" s="107" t="str">
        <f>'2-zapasy'!A9</f>
        <v>2st-7</v>
      </c>
      <c r="D26" s="99" t="str">
        <f>'2-zapasy'!D9</f>
        <v>vítěz skupiny 1G</v>
      </c>
      <c r="E26" s="99" t="str">
        <f>'2-zapasy'!E9</f>
        <v>DREITS Anastasiia (TTC Koral Tišnov)</v>
      </c>
      <c r="F26" s="96"/>
      <c r="G26" s="96"/>
      <c r="H26" s="96"/>
      <c r="I26" s="145"/>
    </row>
    <row r="27" spans="1:9" ht="26.25" thickBot="1" x14ac:dyDescent="0.25">
      <c r="A27" s="429" t="s">
        <v>165</v>
      </c>
      <c r="B27" s="430"/>
      <c r="C27" s="430"/>
      <c r="D27" s="98"/>
      <c r="E27" s="92" t="s">
        <v>166</v>
      </c>
      <c r="F27" s="438"/>
      <c r="G27" s="438"/>
      <c r="H27" s="438"/>
      <c r="I27" s="439"/>
    </row>
    <row r="28" spans="1:9" ht="13.5" thickBot="1" x14ac:dyDescent="0.25">
      <c r="A28" s="105"/>
    </row>
    <row r="29" spans="1:9" x14ac:dyDescent="0.2">
      <c r="A29" s="103" t="s">
        <v>160</v>
      </c>
      <c r="B29" s="100" t="s">
        <v>60</v>
      </c>
      <c r="C29" s="100" t="s">
        <v>159</v>
      </c>
      <c r="D29" s="94" t="s">
        <v>96</v>
      </c>
      <c r="E29" s="94" t="s">
        <v>97</v>
      </c>
      <c r="F29" s="93" t="s">
        <v>162</v>
      </c>
      <c r="G29" s="93" t="s">
        <v>163</v>
      </c>
      <c r="H29" s="93" t="s">
        <v>164</v>
      </c>
      <c r="I29" s="95" t="s">
        <v>161</v>
      </c>
    </row>
    <row r="30" spans="1:9" ht="25.5" x14ac:dyDescent="0.2">
      <c r="A30" s="104" t="e">
        <f>'2-zapasy'!B10</f>
        <v>#REF!</v>
      </c>
      <c r="B30" s="101" t="e">
        <f>'2-zapasy'!C10</f>
        <v>#REF!</v>
      </c>
      <c r="C30" s="107" t="str">
        <f>'2-zapasy'!A10</f>
        <v>2st-8</v>
      </c>
      <c r="D30" s="99" t="str">
        <f>'2-zapasy'!D10</f>
        <v>DOFEK David (KST Vyškov)</v>
      </c>
      <c r="E30" s="99" t="str">
        <f>'2-zapasy'!E10</f>
        <v>CHALÚPEK Filip (TTC MS Brno)</v>
      </c>
      <c r="F30" s="96"/>
      <c r="G30" s="96"/>
      <c r="H30" s="96"/>
      <c r="I30" s="145"/>
    </row>
    <row r="31" spans="1:9" ht="26.25" thickBot="1" x14ac:dyDescent="0.25">
      <c r="A31" s="429" t="s">
        <v>165</v>
      </c>
      <c r="B31" s="430"/>
      <c r="C31" s="430"/>
      <c r="D31" s="98"/>
      <c r="E31" s="92" t="s">
        <v>166</v>
      </c>
      <c r="F31" s="438"/>
      <c r="G31" s="438"/>
      <c r="H31" s="438"/>
      <c r="I31" s="439"/>
    </row>
    <row r="32" spans="1:9" ht="13.5" thickBot="1" x14ac:dyDescent="0.25"/>
    <row r="33" spans="1:9" x14ac:dyDescent="0.2">
      <c r="A33" s="103" t="s">
        <v>160</v>
      </c>
      <c r="B33" s="100" t="s">
        <v>60</v>
      </c>
      <c r="C33" s="100" t="s">
        <v>159</v>
      </c>
      <c r="D33" s="94" t="s">
        <v>96</v>
      </c>
      <c r="E33" s="94" t="s">
        <v>97</v>
      </c>
      <c r="F33" s="93" t="s">
        <v>162</v>
      </c>
      <c r="G33" s="93" t="s">
        <v>163</v>
      </c>
      <c r="H33" s="93" t="s">
        <v>164</v>
      </c>
      <c r="I33" s="95" t="s">
        <v>161</v>
      </c>
    </row>
    <row r="34" spans="1:9" ht="25.5" x14ac:dyDescent="0.2">
      <c r="A34" s="104" t="e">
        <f>'2-zapasy'!B11</f>
        <v>#REF!</v>
      </c>
      <c r="B34" s="101" t="e">
        <f>'2-zapasy'!C11</f>
        <v>#REF!</v>
      </c>
      <c r="C34" s="107" t="str">
        <f>'2-zapasy'!A11</f>
        <v>2st-9</v>
      </c>
      <c r="D34" s="99" t="str">
        <f>'2-zapasy'!D11</f>
        <v>vítěz skupiny 1I</v>
      </c>
      <c r="E34" s="99" t="str">
        <f>'2-zapasy'!E11</f>
        <v>SOBOTÍKOVÁ Monika (TTC MS Brno)</v>
      </c>
      <c r="F34" s="96"/>
      <c r="G34" s="96"/>
      <c r="H34" s="96"/>
      <c r="I34" s="145"/>
    </row>
    <row r="35" spans="1:9" ht="26.25" thickBot="1" x14ac:dyDescent="0.25">
      <c r="A35" s="429" t="s">
        <v>165</v>
      </c>
      <c r="B35" s="430"/>
      <c r="C35" s="430"/>
      <c r="D35" s="98"/>
      <c r="E35" s="92" t="s">
        <v>166</v>
      </c>
      <c r="F35" s="438"/>
      <c r="G35" s="438"/>
      <c r="H35" s="438"/>
      <c r="I35" s="439"/>
    </row>
    <row r="36" spans="1:9" ht="13.5" thickBot="1" x14ac:dyDescent="0.25">
      <c r="A36" s="105"/>
    </row>
    <row r="37" spans="1:9" x14ac:dyDescent="0.2">
      <c r="A37" s="103" t="s">
        <v>160</v>
      </c>
      <c r="B37" s="100" t="s">
        <v>60</v>
      </c>
      <c r="C37" s="100" t="s">
        <v>159</v>
      </c>
      <c r="D37" s="94" t="s">
        <v>96</v>
      </c>
      <c r="E37" s="94" t="s">
        <v>97</v>
      </c>
      <c r="F37" s="93" t="s">
        <v>162</v>
      </c>
      <c r="G37" s="93" t="s">
        <v>163</v>
      </c>
      <c r="H37" s="93" t="s">
        <v>164</v>
      </c>
      <c r="I37" s="95" t="s">
        <v>161</v>
      </c>
    </row>
    <row r="38" spans="1:9" ht="25.5" x14ac:dyDescent="0.2">
      <c r="A38" s="104" t="e">
        <f>'2-zapasy'!B12</f>
        <v>#REF!</v>
      </c>
      <c r="B38" s="101" t="e">
        <f>'2-zapasy'!C12</f>
        <v>#REF!</v>
      </c>
      <c r="C38" s="107" t="str">
        <f>'2-zapasy'!A12</f>
        <v>2st-10</v>
      </c>
      <c r="D38" s="99" t="str">
        <f>'2-zapasy'!D12</f>
        <v>vítěz skupiny 1J</v>
      </c>
      <c r="E38" s="99" t="str">
        <f>'2-zapasy'!E12</f>
        <v>VINCENEC Oliver (KST Vyškov)</v>
      </c>
      <c r="F38" s="96"/>
      <c r="G38" s="96"/>
      <c r="H38" s="96"/>
      <c r="I38" s="145"/>
    </row>
    <row r="39" spans="1:9" ht="26.25" thickBot="1" x14ac:dyDescent="0.25">
      <c r="A39" s="429" t="s">
        <v>165</v>
      </c>
      <c r="B39" s="430"/>
      <c r="C39" s="430"/>
      <c r="D39" s="98"/>
      <c r="E39" s="92" t="s">
        <v>166</v>
      </c>
      <c r="F39" s="438"/>
      <c r="G39" s="438"/>
      <c r="H39" s="438"/>
      <c r="I39" s="439"/>
    </row>
    <row r="40" spans="1:9" ht="13.5" thickBot="1" x14ac:dyDescent="0.25">
      <c r="A40" s="105"/>
    </row>
    <row r="41" spans="1:9" x14ac:dyDescent="0.2">
      <c r="A41" s="103" t="s">
        <v>160</v>
      </c>
      <c r="B41" s="100" t="s">
        <v>60</v>
      </c>
      <c r="C41" s="100" t="s">
        <v>159</v>
      </c>
      <c r="D41" s="94" t="s">
        <v>96</v>
      </c>
      <c r="E41" s="94" t="s">
        <v>97</v>
      </c>
      <c r="F41" s="93" t="s">
        <v>162</v>
      </c>
      <c r="G41" s="93" t="s">
        <v>163</v>
      </c>
      <c r="H41" s="93" t="s">
        <v>164</v>
      </c>
      <c r="I41" s="95" t="s">
        <v>161</v>
      </c>
    </row>
    <row r="42" spans="1:9" ht="25.5" x14ac:dyDescent="0.2">
      <c r="A42" s="104" t="e">
        <f>'2-zapasy'!B13</f>
        <v>#REF!</v>
      </c>
      <c r="B42" s="101" t="e">
        <f>'2-zapasy'!C13</f>
        <v>#REF!</v>
      </c>
      <c r="C42" s="107" t="str">
        <f>'2-zapasy'!A13</f>
        <v>2st-11</v>
      </c>
      <c r="D42" s="99" t="str">
        <f>'2-zapasy'!D13</f>
        <v>vítěz skupiny 1K</v>
      </c>
      <c r="E42" s="99" t="str">
        <f>'2-zapasy'!E13</f>
        <v>druhý ze skupiny 1O</v>
      </c>
      <c r="F42" s="96"/>
      <c r="G42" s="96"/>
      <c r="H42" s="96"/>
      <c r="I42" s="145"/>
    </row>
    <row r="43" spans="1:9" ht="26.25" thickBot="1" x14ac:dyDescent="0.25">
      <c r="A43" s="429" t="s">
        <v>165</v>
      </c>
      <c r="B43" s="430"/>
      <c r="C43" s="430"/>
      <c r="D43" s="98"/>
      <c r="E43" s="92" t="s">
        <v>166</v>
      </c>
      <c r="F43" s="438"/>
      <c r="G43" s="438"/>
      <c r="H43" s="438"/>
      <c r="I43" s="439"/>
    </row>
    <row r="44" spans="1:9" ht="13.5" thickBot="1" x14ac:dyDescent="0.25">
      <c r="A44" s="105"/>
    </row>
    <row r="45" spans="1:9" x14ac:dyDescent="0.2">
      <c r="A45" s="103" t="s">
        <v>160</v>
      </c>
      <c r="B45" s="100" t="s">
        <v>60</v>
      </c>
      <c r="C45" s="100" t="s">
        <v>159</v>
      </c>
      <c r="D45" s="94" t="s">
        <v>96</v>
      </c>
      <c r="E45" s="94" t="s">
        <v>97</v>
      </c>
      <c r="F45" s="93" t="s">
        <v>162</v>
      </c>
      <c r="G45" s="93" t="s">
        <v>163</v>
      </c>
      <c r="H45" s="93" t="s">
        <v>164</v>
      </c>
      <c r="I45" s="95" t="s">
        <v>161</v>
      </c>
    </row>
    <row r="46" spans="1:9" ht="25.5" x14ac:dyDescent="0.2">
      <c r="A46" s="104" t="e">
        <f>'2-zapasy'!B14</f>
        <v>#REF!</v>
      </c>
      <c r="B46" s="101" t="e">
        <f>'2-zapasy'!C14</f>
        <v>#REF!</v>
      </c>
      <c r="C46" s="107" t="str">
        <f>'2-zapasy'!A14</f>
        <v>2st-12</v>
      </c>
      <c r="D46" s="99" t="str">
        <f>'2-zapasy'!D14</f>
        <v>vítěz skupiny 1L</v>
      </c>
      <c r="E46" s="99" t="str">
        <f>'2-zapasy'!E14</f>
        <v>druhý ze skupiny 1N</v>
      </c>
      <c r="F46" s="96"/>
      <c r="G46" s="96"/>
      <c r="H46" s="96"/>
      <c r="I46" s="145"/>
    </row>
    <row r="47" spans="1:9" ht="26.25" thickBot="1" x14ac:dyDescent="0.25">
      <c r="A47" s="429" t="s">
        <v>165</v>
      </c>
      <c r="B47" s="430"/>
      <c r="C47" s="430"/>
      <c r="D47" s="98"/>
      <c r="E47" s="92" t="s">
        <v>166</v>
      </c>
      <c r="F47" s="438"/>
      <c r="G47" s="438"/>
      <c r="H47" s="438"/>
      <c r="I47" s="439"/>
    </row>
    <row r="48" spans="1:9" ht="13.5" thickBot="1" x14ac:dyDescent="0.25">
      <c r="A48" s="105"/>
    </row>
    <row r="49" spans="1:9" x14ac:dyDescent="0.2">
      <c r="A49" s="103" t="s">
        <v>160</v>
      </c>
      <c r="B49" s="100" t="s">
        <v>60</v>
      </c>
      <c r="C49" s="100" t="s">
        <v>159</v>
      </c>
      <c r="D49" s="94" t="s">
        <v>96</v>
      </c>
      <c r="E49" s="94" t="s">
        <v>97</v>
      </c>
      <c r="F49" s="93" t="s">
        <v>162</v>
      </c>
      <c r="G49" s="93" t="s">
        <v>163</v>
      </c>
      <c r="H49" s="93" t="s">
        <v>164</v>
      </c>
      <c r="I49" s="95" t="s">
        <v>161</v>
      </c>
    </row>
    <row r="50" spans="1:9" ht="25.5" x14ac:dyDescent="0.2">
      <c r="A50" s="104" t="e">
        <f>'2-zapasy'!B15</f>
        <v>#REF!</v>
      </c>
      <c r="B50" s="101" t="e">
        <f>'2-zapasy'!C15</f>
        <v>#REF!</v>
      </c>
      <c r="C50" s="107" t="str">
        <f>'2-zapasy'!A15</f>
        <v>2st-13</v>
      </c>
      <c r="D50" s="99" t="str">
        <f>'2-zapasy'!D15</f>
        <v>vítěz skupiny 1M</v>
      </c>
      <c r="E50" s="99" t="str">
        <f>'2-zapasy'!E15</f>
        <v>druhý ze skupiny 1M</v>
      </c>
      <c r="F50" s="96"/>
      <c r="G50" s="96"/>
      <c r="H50" s="96"/>
      <c r="I50" s="145"/>
    </row>
    <row r="51" spans="1:9" ht="26.25" thickBot="1" x14ac:dyDescent="0.25">
      <c r="A51" s="429" t="s">
        <v>165</v>
      </c>
      <c r="B51" s="430"/>
      <c r="C51" s="430"/>
      <c r="D51" s="98"/>
      <c r="E51" s="92" t="s">
        <v>166</v>
      </c>
      <c r="F51" s="438"/>
      <c r="G51" s="438"/>
      <c r="H51" s="438"/>
      <c r="I51" s="439"/>
    </row>
    <row r="52" spans="1:9" ht="13.5" thickBot="1" x14ac:dyDescent="0.25">
      <c r="A52" s="105"/>
    </row>
    <row r="53" spans="1:9" x14ac:dyDescent="0.2">
      <c r="A53" s="103" t="s">
        <v>160</v>
      </c>
      <c r="B53" s="100" t="s">
        <v>60</v>
      </c>
      <c r="C53" s="100" t="s">
        <v>159</v>
      </c>
      <c r="D53" s="94" t="s">
        <v>96</v>
      </c>
      <c r="E53" s="94" t="s">
        <v>97</v>
      </c>
      <c r="F53" s="93" t="s">
        <v>162</v>
      </c>
      <c r="G53" s="93" t="s">
        <v>163</v>
      </c>
      <c r="H53" s="93" t="s">
        <v>164</v>
      </c>
      <c r="I53" s="95" t="s">
        <v>161</v>
      </c>
    </row>
    <row r="54" spans="1:9" ht="25.5" x14ac:dyDescent="0.2">
      <c r="A54" s="104" t="e">
        <f>'2-zapasy'!B16</f>
        <v>#REF!</v>
      </c>
      <c r="B54" s="101" t="e">
        <f>'2-zapasy'!C16</f>
        <v>#REF!</v>
      </c>
      <c r="C54" s="107" t="str">
        <f>'2-zapasy'!A16</f>
        <v>2st-14</v>
      </c>
      <c r="D54" s="99" t="str">
        <f>'2-zapasy'!D16</f>
        <v>vítěz skupiny 1N</v>
      </c>
      <c r="E54" s="99" t="str">
        <f>'2-zapasy'!E16</f>
        <v>druhý ze skupiny 1L</v>
      </c>
      <c r="F54" s="96"/>
      <c r="G54" s="96"/>
      <c r="H54" s="96"/>
      <c r="I54" s="145"/>
    </row>
    <row r="55" spans="1:9" ht="26.25" thickBot="1" x14ac:dyDescent="0.25">
      <c r="A55" s="429" t="s">
        <v>165</v>
      </c>
      <c r="B55" s="430"/>
      <c r="C55" s="430"/>
      <c r="D55" s="98"/>
      <c r="E55" s="92" t="s">
        <v>166</v>
      </c>
      <c r="F55" s="438"/>
      <c r="G55" s="438"/>
      <c r="H55" s="438"/>
      <c r="I55" s="439"/>
    </row>
    <row r="56" spans="1:9" ht="13.5" thickBot="1" x14ac:dyDescent="0.25">
      <c r="A56" s="105"/>
    </row>
    <row r="57" spans="1:9" x14ac:dyDescent="0.2">
      <c r="A57" s="103" t="s">
        <v>160</v>
      </c>
      <c r="B57" s="100" t="s">
        <v>60</v>
      </c>
      <c r="C57" s="100" t="s">
        <v>159</v>
      </c>
      <c r="D57" s="94" t="s">
        <v>96</v>
      </c>
      <c r="E57" s="94" t="s">
        <v>97</v>
      </c>
      <c r="F57" s="93" t="s">
        <v>162</v>
      </c>
      <c r="G57" s="93" t="s">
        <v>163</v>
      </c>
      <c r="H57" s="93" t="s">
        <v>164</v>
      </c>
      <c r="I57" s="95" t="s">
        <v>161</v>
      </c>
    </row>
    <row r="58" spans="1:9" ht="25.5" x14ac:dyDescent="0.2">
      <c r="A58" s="104" t="e">
        <f>'2-zapasy'!B17</f>
        <v>#REF!</v>
      </c>
      <c r="B58" s="101" t="e">
        <f>'2-zapasy'!C17</f>
        <v>#REF!</v>
      </c>
      <c r="C58" s="107" t="str">
        <f>'2-zapasy'!A17</f>
        <v>2st-15</v>
      </c>
      <c r="D58" s="99" t="str">
        <f>'2-zapasy'!D17</f>
        <v>vítěz skupiny 1O</v>
      </c>
      <c r="E58" s="99" t="str">
        <f>'2-zapasy'!E17</f>
        <v>druhý ze skupiny 1K</v>
      </c>
      <c r="F58" s="96"/>
      <c r="G58" s="96"/>
      <c r="H58" s="96"/>
      <c r="I58" s="145"/>
    </row>
    <row r="59" spans="1:9" ht="26.25" thickBot="1" x14ac:dyDescent="0.25">
      <c r="A59" s="429" t="s">
        <v>165</v>
      </c>
      <c r="B59" s="430"/>
      <c r="C59" s="430"/>
      <c r="D59" s="98"/>
      <c r="E59" s="92" t="s">
        <v>166</v>
      </c>
      <c r="F59" s="438"/>
      <c r="G59" s="438"/>
      <c r="H59" s="438"/>
      <c r="I59" s="439"/>
    </row>
    <row r="60" spans="1:9" ht="13.5" thickBot="1" x14ac:dyDescent="0.25">
      <c r="A60" s="105"/>
    </row>
    <row r="61" spans="1:9" x14ac:dyDescent="0.2">
      <c r="A61" s="103" t="s">
        <v>160</v>
      </c>
      <c r="B61" s="100" t="s">
        <v>60</v>
      </c>
      <c r="C61" s="100" t="s">
        <v>159</v>
      </c>
      <c r="D61" s="94" t="s">
        <v>96</v>
      </c>
      <c r="E61" s="94" t="s">
        <v>97</v>
      </c>
      <c r="F61" s="93" t="s">
        <v>162</v>
      </c>
      <c r="G61" s="93" t="s">
        <v>163</v>
      </c>
      <c r="H61" s="93" t="s">
        <v>164</v>
      </c>
      <c r="I61" s="95" t="s">
        <v>161</v>
      </c>
    </row>
    <row r="62" spans="1:9" ht="25.5" x14ac:dyDescent="0.2">
      <c r="A62" s="104" t="e">
        <f>'2-zapasy'!B18</f>
        <v>#REF!</v>
      </c>
      <c r="B62" s="101" t="e">
        <f>'2-zapasy'!C18</f>
        <v>#REF!</v>
      </c>
      <c r="C62" s="107" t="str">
        <f>'2-zapasy'!A18</f>
        <v>2st-16</v>
      </c>
      <c r="D62" s="99" t="str">
        <f>'2-zapasy'!D18</f>
        <v>vítěz skupiny 1P</v>
      </c>
      <c r="E62" s="99" t="str">
        <f>'2-zapasy'!E18</f>
        <v>druhý ze skupiny 1J</v>
      </c>
      <c r="F62" s="96"/>
      <c r="G62" s="96"/>
      <c r="H62" s="96"/>
      <c r="I62" s="145"/>
    </row>
    <row r="63" spans="1:9" ht="26.25" thickBot="1" x14ac:dyDescent="0.25">
      <c r="A63" s="429" t="s">
        <v>165</v>
      </c>
      <c r="B63" s="430"/>
      <c r="C63" s="430"/>
      <c r="D63" s="98"/>
      <c r="E63" s="92" t="s">
        <v>166</v>
      </c>
      <c r="F63" s="438"/>
      <c r="G63" s="438"/>
      <c r="H63" s="438"/>
      <c r="I63" s="439"/>
    </row>
  </sheetData>
  <mergeCells count="32">
    <mergeCell ref="A27:C27"/>
    <mergeCell ref="F27:I27"/>
    <mergeCell ref="A31:C31"/>
    <mergeCell ref="F31:I31"/>
    <mergeCell ref="A19:C19"/>
    <mergeCell ref="F19:I19"/>
    <mergeCell ref="A23:C23"/>
    <mergeCell ref="F23:I23"/>
    <mergeCell ref="A11:C11"/>
    <mergeCell ref="F11:I11"/>
    <mergeCell ref="A15:C15"/>
    <mergeCell ref="F15:I15"/>
    <mergeCell ref="A3:C3"/>
    <mergeCell ref="F3:I3"/>
    <mergeCell ref="A7:C7"/>
    <mergeCell ref="F7:I7"/>
    <mergeCell ref="A63:C63"/>
    <mergeCell ref="F63:I63"/>
    <mergeCell ref="A51:C51"/>
    <mergeCell ref="F51:I51"/>
    <mergeCell ref="A55:C55"/>
    <mergeCell ref="F55:I55"/>
    <mergeCell ref="A59:C59"/>
    <mergeCell ref="F59:I59"/>
    <mergeCell ref="A43:C43"/>
    <mergeCell ref="F43:I43"/>
    <mergeCell ref="A47:C47"/>
    <mergeCell ref="F47:I47"/>
    <mergeCell ref="A35:C35"/>
    <mergeCell ref="F35:I35"/>
    <mergeCell ref="A39:C39"/>
    <mergeCell ref="F39:I39"/>
  </mergeCells>
  <printOptions horizontalCentered="1" verticalCentered="1"/>
  <pageMargins left="0.19685039370078741" right="0.19685039370078741" top="0.59055118110236227" bottom="0.19685039370078741" header="0.19685039370078741" footer="0.51181102362204722"/>
  <pageSetup paperSize="9" orientation="portrait" horizontalDpi="360" verticalDpi="360" r:id="rId1"/>
  <headerFooter alignWithMargins="0">
    <oddHeader>&amp;C2. stupeň</oddHeader>
  </headerFooter>
  <rowBreaks count="1" manualBreakCount="1">
    <brk id="32" max="16383" man="1"/>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3"/>
  <dimension ref="A1:F38"/>
  <sheetViews>
    <sheetView showGridLines="0" view="pageBreakPreview" zoomScale="85" zoomScaleNormal="85" workbookViewId="0">
      <selection activeCell="F28" sqref="F28"/>
    </sheetView>
  </sheetViews>
  <sheetFormatPr defaultRowHeight="12.75" x14ac:dyDescent="0.2"/>
  <cols>
    <col min="1" max="1" width="5.140625" style="67" bestFit="1" customWidth="1"/>
    <col min="2" max="2" width="28.85546875" style="67" bestFit="1" customWidth="1"/>
    <col min="3" max="3" width="3.140625" style="67" bestFit="1" customWidth="1"/>
    <col min="4" max="4" width="31.140625" style="67" bestFit="1" customWidth="1"/>
    <col min="5" max="5" width="2.28515625" style="67" customWidth="1"/>
    <col min="6" max="6" width="16.85546875" style="67" bestFit="1" customWidth="1"/>
    <col min="7" max="7" width="13.42578125" style="67" bestFit="1" customWidth="1"/>
    <col min="8" max="16384" width="9.140625" style="67"/>
  </cols>
  <sheetData>
    <row r="1" spans="1:4" s="147" customFormat="1" ht="11.25" x14ac:dyDescent="0.2">
      <c r="A1" s="146" t="s">
        <v>207</v>
      </c>
      <c r="B1" s="149" t="s">
        <v>208</v>
      </c>
      <c r="C1" s="146"/>
      <c r="D1" s="146"/>
    </row>
    <row r="2" spans="1:4" s="147" customFormat="1" ht="11.25" x14ac:dyDescent="0.2">
      <c r="A2" s="150">
        <v>1</v>
      </c>
      <c r="B2" s="147" t="str">
        <f>'2-zapasy'!K3</f>
        <v>vítěz utkání 2st-1</v>
      </c>
    </row>
    <row r="3" spans="1:4" s="147" customFormat="1" ht="11.25" x14ac:dyDescent="0.2">
      <c r="A3" s="150">
        <v>2</v>
      </c>
      <c r="B3" s="147" t="str">
        <f>'2-zapasy'!K4</f>
        <v>vítěz utkání 2st-2</v>
      </c>
    </row>
    <row r="4" spans="1:4" s="147" customFormat="1" ht="11.25" x14ac:dyDescent="0.2">
      <c r="A4" s="150">
        <v>3</v>
      </c>
      <c r="B4" s="147" t="str">
        <f>'2-zapasy'!K5</f>
        <v>vítěz utkání 2st-3</v>
      </c>
    </row>
    <row r="5" spans="1:4" s="147" customFormat="1" ht="11.25" x14ac:dyDescent="0.2">
      <c r="A5" s="150">
        <v>4</v>
      </c>
      <c r="B5" s="147" t="str">
        <f>'2-zapasy'!K6</f>
        <v>vítěz utkání 2st-4</v>
      </c>
    </row>
    <row r="6" spans="1:4" s="147" customFormat="1" ht="11.25" x14ac:dyDescent="0.2">
      <c r="A6" s="150">
        <v>5</v>
      </c>
      <c r="B6" s="147" t="str">
        <f>'2-zapasy'!K7</f>
        <v>vítěz utkání 2st-5</v>
      </c>
      <c r="C6" s="146"/>
    </row>
    <row r="7" spans="1:4" s="147" customFormat="1" ht="11.25" x14ac:dyDescent="0.2">
      <c r="A7" s="150">
        <v>6</v>
      </c>
      <c r="B7" s="147" t="str">
        <f>'2-zapasy'!K8</f>
        <v>vítěz utkání 2st-6</v>
      </c>
      <c r="C7" s="148"/>
    </row>
    <row r="8" spans="1:4" s="147" customFormat="1" ht="11.25" x14ac:dyDescent="0.2">
      <c r="A8" s="150">
        <v>7</v>
      </c>
      <c r="B8" s="147" t="str">
        <f>'2-zapasy'!K9</f>
        <v>vítěz utkání 2st-7</v>
      </c>
      <c r="C8" s="148"/>
    </row>
    <row r="9" spans="1:4" s="147" customFormat="1" ht="11.25" x14ac:dyDescent="0.2">
      <c r="A9" s="150">
        <v>8</v>
      </c>
      <c r="B9" s="147" t="str">
        <f>'2-zapasy'!K10</f>
        <v>vítěz utkání 2st-8</v>
      </c>
      <c r="C9" s="148"/>
    </row>
    <row r="10" spans="1:4" s="147" customFormat="1" ht="11.25" x14ac:dyDescent="0.2">
      <c r="A10" s="150">
        <v>9</v>
      </c>
      <c r="B10" s="147" t="str">
        <f>'2-zapasy'!K11</f>
        <v>vítěz utkání 2st-9</v>
      </c>
      <c r="C10" s="148"/>
    </row>
    <row r="11" spans="1:4" s="147" customFormat="1" ht="11.25" x14ac:dyDescent="0.2">
      <c r="A11" s="150">
        <v>10</v>
      </c>
      <c r="B11" s="147" t="str">
        <f>'2-zapasy'!K12</f>
        <v>vítěz utkání 2st-10</v>
      </c>
      <c r="C11" s="148"/>
    </row>
    <row r="12" spans="1:4" s="147" customFormat="1" ht="11.25" x14ac:dyDescent="0.2">
      <c r="A12" s="150">
        <v>11</v>
      </c>
      <c r="B12" s="147" t="str">
        <f>'2-zapasy'!K13</f>
        <v>vítěz utkání 2st-11</v>
      </c>
      <c r="C12" s="148"/>
    </row>
    <row r="13" spans="1:4" s="147" customFormat="1" ht="11.25" x14ac:dyDescent="0.2">
      <c r="A13" s="150">
        <v>12</v>
      </c>
      <c r="B13" s="147" t="str">
        <f>'2-zapasy'!K14</f>
        <v>vítěz utkání 2st-12</v>
      </c>
      <c r="C13" s="148"/>
    </row>
    <row r="14" spans="1:4" s="147" customFormat="1" ht="11.25" x14ac:dyDescent="0.2">
      <c r="A14" s="150">
        <v>13</v>
      </c>
      <c r="B14" s="147" t="str">
        <f>'2-zapasy'!K15</f>
        <v>vítěz utkání 2st-13</v>
      </c>
      <c r="C14" s="148"/>
    </row>
    <row r="15" spans="1:4" s="147" customFormat="1" ht="11.25" x14ac:dyDescent="0.2">
      <c r="A15" s="150">
        <v>14</v>
      </c>
      <c r="B15" s="147" t="str">
        <f>'2-zapasy'!K16</f>
        <v>vítěz utkání 2st-14</v>
      </c>
      <c r="C15" s="148"/>
    </row>
    <row r="16" spans="1:4" s="147" customFormat="1" ht="11.25" x14ac:dyDescent="0.2">
      <c r="A16" s="150">
        <v>15</v>
      </c>
      <c r="B16" s="147" t="str">
        <f>'2-zapasy'!K17</f>
        <v>vítěz utkání 2st-15</v>
      </c>
      <c r="C16" s="148"/>
    </row>
    <row r="17" spans="1:6" s="147" customFormat="1" ht="11.25" x14ac:dyDescent="0.2">
      <c r="A17" s="150">
        <v>16</v>
      </c>
      <c r="B17" s="147" t="str">
        <f>'2-zapasy'!K18</f>
        <v>vítěz utkání 2st-16</v>
      </c>
      <c r="C17" s="148"/>
    </row>
    <row r="18" spans="1:6" s="155" customFormat="1" ht="13.5" thickBot="1" x14ac:dyDescent="0.25">
      <c r="A18" s="153" t="s">
        <v>100</v>
      </c>
      <c r="B18" s="153"/>
      <c r="C18" s="153"/>
      <c r="D18" s="153"/>
      <c r="E18" s="154"/>
    </row>
    <row r="19" spans="1:6" s="157" customFormat="1" ht="15" customHeight="1" x14ac:dyDescent="0.2">
      <c r="A19" s="440" t="s">
        <v>140</v>
      </c>
      <c r="B19" s="441"/>
      <c r="C19" s="156" t="s">
        <v>209</v>
      </c>
      <c r="F19" s="158" t="s">
        <v>128</v>
      </c>
    </row>
    <row r="20" spans="1:6" s="155" customFormat="1" ht="15" customHeight="1" x14ac:dyDescent="0.2">
      <c r="A20" s="159">
        <v>1</v>
      </c>
      <c r="B20" s="160" t="str">
        <f>VLOOKUP(C20,A$2:B$17,2)</f>
        <v>vítěz utkání 2st-1</v>
      </c>
      <c r="C20" s="161">
        <v>1</v>
      </c>
      <c r="F20" s="162" t="s">
        <v>54</v>
      </c>
    </row>
    <row r="21" spans="1:6" s="155" customFormat="1" ht="15" customHeight="1" x14ac:dyDescent="0.2">
      <c r="A21" s="159">
        <v>2</v>
      </c>
      <c r="B21" s="160" t="str">
        <f>VLOOKUP(C21,A$2:B$17,2)</f>
        <v>vítěz utkání 2st-8</v>
      </c>
      <c r="C21" s="161">
        <v>8</v>
      </c>
      <c r="F21" s="163" t="s">
        <v>55</v>
      </c>
    </row>
    <row r="22" spans="1:6" s="155" customFormat="1" ht="15" customHeight="1" x14ac:dyDescent="0.2">
      <c r="A22" s="159">
        <v>3</v>
      </c>
      <c r="B22" s="160" t="str">
        <f>VLOOKUP(C22,A$2:B$17,2)</f>
        <v>vítěz utkání 2st-9</v>
      </c>
      <c r="C22" s="161">
        <v>9</v>
      </c>
      <c r="F22" s="164" t="s">
        <v>56</v>
      </c>
    </row>
    <row r="23" spans="1:6" s="155" customFormat="1" ht="15" customHeight="1" thickBot="1" x14ac:dyDescent="0.25">
      <c r="A23" s="165">
        <v>4</v>
      </c>
      <c r="B23" s="160" t="str">
        <f>VLOOKUP(C23,A$2:B$17,2)</f>
        <v>vítěz utkání 2st-16</v>
      </c>
      <c r="C23" s="161">
        <v>16</v>
      </c>
    </row>
    <row r="24" spans="1:6" s="157" customFormat="1" ht="15" customHeight="1" x14ac:dyDescent="0.2">
      <c r="A24" s="440" t="s">
        <v>141</v>
      </c>
      <c r="B24" s="441"/>
      <c r="F24" s="70" t="s">
        <v>206</v>
      </c>
    </row>
    <row r="25" spans="1:6" s="155" customFormat="1" ht="15" customHeight="1" x14ac:dyDescent="0.2">
      <c r="A25" s="159">
        <v>5</v>
      </c>
      <c r="B25" s="160" t="str">
        <f>VLOOKUP(C25,A$2:B$17,2)</f>
        <v>vítěz utkání 2st-2</v>
      </c>
      <c r="C25" s="161">
        <v>2</v>
      </c>
      <c r="F25" s="71" t="e">
        <f>'2-los'!F7</f>
        <v>#REF!</v>
      </c>
    </row>
    <row r="26" spans="1:6" s="155" customFormat="1" ht="15" customHeight="1" x14ac:dyDescent="0.2">
      <c r="A26" s="159">
        <v>6</v>
      </c>
      <c r="B26" s="160" t="str">
        <f>VLOOKUP(C26,A$2:B$17,2)</f>
        <v>vítěz utkání 2st-7</v>
      </c>
      <c r="C26" s="161">
        <v>7</v>
      </c>
      <c r="F26" s="166"/>
    </row>
    <row r="27" spans="1:6" s="155" customFormat="1" ht="15" customHeight="1" x14ac:dyDescent="0.2">
      <c r="A27" s="159">
        <v>7</v>
      </c>
      <c r="B27" s="160" t="str">
        <f>VLOOKUP(C27,A$2:B$17,2)</f>
        <v>vítěz utkání 2st-10</v>
      </c>
      <c r="C27" s="161">
        <v>10</v>
      </c>
      <c r="F27" s="72" t="s">
        <v>126</v>
      </c>
    </row>
    <row r="28" spans="1:6" s="155" customFormat="1" ht="15" customHeight="1" thickBot="1" x14ac:dyDescent="0.25">
      <c r="A28" s="165">
        <v>8</v>
      </c>
      <c r="B28" s="160" t="str">
        <f>VLOOKUP(C28,A$2:B$17,2)</f>
        <v>vítěz utkání 2st-15</v>
      </c>
      <c r="C28" s="161">
        <v>15</v>
      </c>
      <c r="F28" s="75">
        <f>'1-los'!I11</f>
        <v>0</v>
      </c>
    </row>
    <row r="29" spans="1:6" s="155" customFormat="1" x14ac:dyDescent="0.2">
      <c r="A29" s="440" t="s">
        <v>142</v>
      </c>
      <c r="B29" s="441"/>
      <c r="F29" s="156"/>
    </row>
    <row r="30" spans="1:6" s="155" customFormat="1" x14ac:dyDescent="0.2">
      <c r="A30" s="159">
        <v>9</v>
      </c>
      <c r="B30" s="160" t="str">
        <f>VLOOKUP(C30,A$2:B$17,2)</f>
        <v>vítěz utkání 2st-3</v>
      </c>
      <c r="C30" s="161">
        <v>3</v>
      </c>
      <c r="F30" s="72" t="s">
        <v>98</v>
      </c>
    </row>
    <row r="31" spans="1:6" s="155" customFormat="1" x14ac:dyDescent="0.2">
      <c r="A31" s="159">
        <v>10</v>
      </c>
      <c r="B31" s="160" t="str">
        <f>VLOOKUP(C31,A$2:B$17,2)</f>
        <v>vítěz utkání 2st-6</v>
      </c>
      <c r="C31" s="161">
        <v>6</v>
      </c>
      <c r="F31" s="71">
        <f>1.25/3/24</f>
        <v>1.7361111111111112E-2</v>
      </c>
    </row>
    <row r="32" spans="1:6" s="155" customFormat="1" x14ac:dyDescent="0.2">
      <c r="A32" s="159">
        <v>11</v>
      </c>
      <c r="B32" s="160" t="str">
        <f>VLOOKUP(C32,A$2:B$17,2)</f>
        <v>vítěz utkání 2st-11</v>
      </c>
      <c r="C32" s="161">
        <v>11</v>
      </c>
      <c r="F32" s="166"/>
    </row>
    <row r="33" spans="1:6" s="155" customFormat="1" ht="13.5" thickBot="1" x14ac:dyDescent="0.25">
      <c r="A33" s="165">
        <v>12</v>
      </c>
      <c r="B33" s="160" t="str">
        <f>VLOOKUP(C33,A$2:B$17,2)</f>
        <v>vítěz utkání 2st-14</v>
      </c>
      <c r="C33" s="161">
        <v>14</v>
      </c>
      <c r="F33" s="72" t="s">
        <v>127</v>
      </c>
    </row>
    <row r="34" spans="1:6" s="155" customFormat="1" x14ac:dyDescent="0.2">
      <c r="A34" s="440" t="s">
        <v>143</v>
      </c>
      <c r="B34" s="441"/>
      <c r="F34" s="71" t="e">
        <f>'3-zapasy'!A32+F31</f>
        <v>#REF!</v>
      </c>
    </row>
    <row r="35" spans="1:6" s="155" customFormat="1" x14ac:dyDescent="0.2">
      <c r="A35" s="159">
        <v>13</v>
      </c>
      <c r="B35" s="160" t="str">
        <f>VLOOKUP(C35,A$2:B$17,2)</f>
        <v>vítěz utkání 2st-4</v>
      </c>
      <c r="C35" s="161">
        <v>4</v>
      </c>
    </row>
    <row r="36" spans="1:6" s="155" customFormat="1" x14ac:dyDescent="0.2">
      <c r="A36" s="159">
        <v>14</v>
      </c>
      <c r="B36" s="160" t="str">
        <f>VLOOKUP(C36,A$2:B$17,2)</f>
        <v>vítěz utkání 2st-5</v>
      </c>
      <c r="C36" s="161">
        <v>5</v>
      </c>
    </row>
    <row r="37" spans="1:6" s="155" customFormat="1" x14ac:dyDescent="0.2">
      <c r="A37" s="159">
        <v>15</v>
      </c>
      <c r="B37" s="160" t="str">
        <f>VLOOKUP(C37,A$2:B$17,2)</f>
        <v>vítěz utkání 2st-12</v>
      </c>
      <c r="C37" s="161">
        <v>12</v>
      </c>
    </row>
    <row r="38" spans="1:6" s="155" customFormat="1" ht="13.5" thickBot="1" x14ac:dyDescent="0.25">
      <c r="A38" s="165">
        <v>16</v>
      </c>
      <c r="B38" s="160" t="str">
        <f>VLOOKUP(C38,A$2:B$17,2)</f>
        <v>vítěz utkání 2st-13</v>
      </c>
      <c r="C38" s="161">
        <v>13</v>
      </c>
    </row>
  </sheetData>
  <mergeCells count="4">
    <mergeCell ref="A19:B19"/>
    <mergeCell ref="A29:B29"/>
    <mergeCell ref="A34:B34"/>
    <mergeCell ref="A24:B24"/>
  </mergeCells>
  <printOptions horizontalCentered="1"/>
  <pageMargins left="0.39370078740157483" right="0.39370078740157483" top="0.59055118110236227" bottom="0.59055118110236227" header="0" footer="0"/>
  <pageSetup scale="150" fitToHeight="4" pageOrder="overThenDown" orientation="landscape" horizontalDpi="360" verticalDpi="300" r:id="rId1"/>
  <headerFooter alignWithMargins="0">
    <oddFooter>&amp;L&amp;"Arial,tučné"&amp;9CCL-CONFERENCE CZECHOSLOVAKIA LTD. on: &amp;D, &amp;T</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4"/>
  <dimension ref="A1:Q32"/>
  <sheetViews>
    <sheetView showGridLines="0" view="pageBreakPreview" zoomScaleNormal="100" workbookViewId="0">
      <selection activeCell="E18" sqref="E18"/>
    </sheetView>
  </sheetViews>
  <sheetFormatPr defaultColWidth="8.85546875" defaultRowHeight="11.25" x14ac:dyDescent="0.2"/>
  <cols>
    <col min="1" max="1" width="9.7109375" style="49" bestFit="1" customWidth="1"/>
    <col min="2" max="2" width="5.140625" style="38" bestFit="1" customWidth="1"/>
    <col min="3" max="3" width="6.7109375" style="38" bestFit="1" customWidth="1"/>
    <col min="4" max="4" width="23.5703125" style="32" bestFit="1" customWidth="1"/>
    <col min="5" max="5" width="23.5703125" style="39" bestFit="1" customWidth="1"/>
    <col min="6" max="7" width="3.28515625" style="39" bestFit="1" customWidth="1"/>
    <col min="8" max="8" width="3.42578125" style="39" customWidth="1"/>
    <col min="9" max="10" width="2.42578125" style="32" customWidth="1"/>
    <col min="11" max="11" width="20.7109375" style="32" bestFit="1" customWidth="1"/>
    <col min="12" max="12" width="2.140625" style="32" bestFit="1" customWidth="1"/>
    <col min="13" max="13" width="1.85546875" style="32" bestFit="1" customWidth="1"/>
    <col min="14" max="14" width="4.85546875" style="32" bestFit="1" customWidth="1"/>
    <col min="15" max="15" width="2" style="32" bestFit="1" customWidth="1"/>
    <col min="16" max="16" width="8.85546875" style="32" customWidth="1"/>
    <col min="17" max="17" width="2.7109375" style="32" hidden="1" customWidth="1"/>
    <col min="18" max="16384" width="8.85546875" style="32"/>
  </cols>
  <sheetData>
    <row r="1" spans="1:17" x14ac:dyDescent="0.2">
      <c r="A1" s="50" t="str">
        <f>'3-los'!A19:B19</f>
        <v>skupina 3A</v>
      </c>
      <c r="B1" s="50"/>
      <c r="C1" s="50"/>
      <c r="D1" s="167"/>
      <c r="E1" s="31"/>
      <c r="F1" s="31"/>
      <c r="G1" s="31"/>
      <c r="H1" s="31"/>
      <c r="I1" s="31"/>
      <c r="J1" s="31"/>
      <c r="K1" s="171" t="str">
        <f>A1</f>
        <v>skupina 3A</v>
      </c>
      <c r="L1" s="168"/>
      <c r="M1" s="168"/>
      <c r="N1" s="168"/>
      <c r="O1" s="168"/>
    </row>
    <row r="2" spans="1:17" x14ac:dyDescent="0.2">
      <c r="A2" s="48" t="s">
        <v>59</v>
      </c>
      <c r="B2" s="34" t="s">
        <v>60</v>
      </c>
      <c r="C2" s="34" t="s">
        <v>159</v>
      </c>
      <c r="D2" s="33" t="s">
        <v>61</v>
      </c>
      <c r="E2" s="35" t="s">
        <v>62</v>
      </c>
      <c r="F2" s="35"/>
      <c r="G2" s="35"/>
      <c r="H2" s="35"/>
      <c r="I2" s="33"/>
      <c r="J2" s="33"/>
      <c r="K2" s="36" t="s">
        <v>63</v>
      </c>
      <c r="L2" s="37" t="s">
        <v>64</v>
      </c>
      <c r="M2" s="37" t="s">
        <v>65</v>
      </c>
      <c r="N2" s="127" t="s">
        <v>66</v>
      </c>
      <c r="O2" s="37" t="s">
        <v>57</v>
      </c>
      <c r="Q2" s="37" t="s">
        <v>58</v>
      </c>
    </row>
    <row r="3" spans="1:17" x14ac:dyDescent="0.2">
      <c r="A3" s="49" t="e">
        <f>'3-los'!F25</f>
        <v>#REF!</v>
      </c>
      <c r="B3" s="38">
        <v>1</v>
      </c>
      <c r="C3" s="38" t="s">
        <v>167</v>
      </c>
      <c r="D3" s="32" t="str">
        <f>'3-los'!B20</f>
        <v>vítěz utkání 2st-1</v>
      </c>
      <c r="E3" s="39" t="str">
        <f>'3-los'!B23</f>
        <v>vítěz utkání 2st-16</v>
      </c>
      <c r="F3" s="45"/>
      <c r="G3" s="45"/>
      <c r="H3" s="46"/>
      <c r="I3" s="47" t="str">
        <f t="shared" ref="I3:I8" si="0">IF(F3="","",((IF(F3&gt;0,1,0)+IF(G3&gt;0,1,0)+IF(H3&gt;0,1,0))))</f>
        <v/>
      </c>
      <c r="J3" s="47" t="str">
        <f t="shared" ref="J3:J8" si="1">IF(F3="","",IF(F3&gt;0,0,1)+IF(G3="",0,IF(G3&gt;0,0,1))+IF(H3="",0,IF(H3&gt;0,0,1)))</f>
        <v/>
      </c>
      <c r="K3" s="32" t="str">
        <f>calc3!BX4</f>
        <v>vítěz utkání 2st-1</v>
      </c>
      <c r="L3" s="32">
        <f>calc3!BZ4</f>
        <v>0</v>
      </c>
      <c r="M3" s="32">
        <f>calc3!CB4</f>
        <v>0</v>
      </c>
      <c r="N3" s="32" t="str">
        <f>calc3!CF4</f>
        <v>0:0</v>
      </c>
      <c r="O3" s="32">
        <f>calc3!CE4</f>
        <v>0</v>
      </c>
      <c r="Q3" s="32">
        <f>calc3!CA4</f>
        <v>0</v>
      </c>
    </row>
    <row r="4" spans="1:17" x14ac:dyDescent="0.2">
      <c r="A4" s="49" t="e">
        <f>IF(OR(B4&gt;B27,B4=B27),A27,A27+'3-los'!$F$31)</f>
        <v>#REF!</v>
      </c>
      <c r="B4" s="38">
        <f>IF(B27='3-los'!$F$28,1,B27+1)</f>
        <v>5</v>
      </c>
      <c r="C4" s="38" t="s">
        <v>168</v>
      </c>
      <c r="D4" s="32" t="str">
        <f>'3-los'!B21</f>
        <v>vítěz utkání 2st-8</v>
      </c>
      <c r="E4" s="39" t="str">
        <f>'3-los'!B22</f>
        <v>vítěz utkání 2st-9</v>
      </c>
      <c r="F4" s="45"/>
      <c r="G4" s="45"/>
      <c r="H4" s="46"/>
      <c r="I4" s="47" t="str">
        <f t="shared" si="0"/>
        <v/>
      </c>
      <c r="J4" s="47" t="str">
        <f t="shared" si="1"/>
        <v/>
      </c>
      <c r="K4" s="32" t="str">
        <f>calc3!BX5</f>
        <v>vítěz utkání 2st-16</v>
      </c>
      <c r="L4" s="32">
        <f>calc3!BZ5</f>
        <v>0</v>
      </c>
      <c r="M4" s="32">
        <f>calc3!CB5</f>
        <v>0</v>
      </c>
      <c r="N4" s="32" t="str">
        <f>calc3!CF5</f>
        <v>0:0</v>
      </c>
      <c r="O4" s="32">
        <f>calc3!CE5</f>
        <v>0</v>
      </c>
      <c r="Q4" s="32">
        <f>calc3!CA5</f>
        <v>0</v>
      </c>
    </row>
    <row r="5" spans="1:17" x14ac:dyDescent="0.2">
      <c r="A5" s="49" t="e">
        <f>IF(OR(B5&gt;B28,B5=B28),A28,A28+'3-los'!$F$31)</f>
        <v>#REF!</v>
      </c>
      <c r="B5" s="38">
        <f>IF(B28=8,1,IF(B28='3-los'!$F$28,1,B28+1))</f>
        <v>1</v>
      </c>
      <c r="C5" s="38" t="s">
        <v>169</v>
      </c>
      <c r="D5" s="32" t="str">
        <f>'3-los'!B23</f>
        <v>vítěz utkání 2st-16</v>
      </c>
      <c r="E5" s="39" t="str">
        <f>'3-los'!B21</f>
        <v>vítěz utkání 2st-8</v>
      </c>
      <c r="F5" s="45"/>
      <c r="G5" s="45"/>
      <c r="H5" s="46"/>
      <c r="I5" s="47" t="str">
        <f t="shared" si="0"/>
        <v/>
      </c>
      <c r="J5" s="47" t="str">
        <f t="shared" si="1"/>
        <v/>
      </c>
      <c r="K5" s="32" t="str">
        <f>calc3!BX6</f>
        <v>vítěz utkání 2st-8</v>
      </c>
      <c r="L5" s="32">
        <f>calc3!BZ6</f>
        <v>0</v>
      </c>
      <c r="M5" s="32">
        <f>calc3!CB6</f>
        <v>0</v>
      </c>
      <c r="N5" s="32" t="str">
        <f>calc3!CF6</f>
        <v>0:0</v>
      </c>
      <c r="O5" s="32">
        <f>calc3!CE6</f>
        <v>0</v>
      </c>
      <c r="Q5" s="32">
        <f>calc3!CA6</f>
        <v>0</v>
      </c>
    </row>
    <row r="6" spans="1:17" x14ac:dyDescent="0.2">
      <c r="A6" s="49" t="e">
        <f>IF(OR(B6&gt;B29,B6=B29),A29,A29+'3-los'!$F$31)</f>
        <v>#REF!</v>
      </c>
      <c r="B6" s="38">
        <f>IF(B29='3-los'!$F$28,1,B29+1)</f>
        <v>5</v>
      </c>
      <c r="C6" s="38" t="s">
        <v>170</v>
      </c>
      <c r="D6" s="32" t="str">
        <f>'3-los'!B22</f>
        <v>vítěz utkání 2st-9</v>
      </c>
      <c r="E6" s="39" t="str">
        <f>'3-los'!B20</f>
        <v>vítěz utkání 2st-1</v>
      </c>
      <c r="F6" s="45"/>
      <c r="G6" s="45"/>
      <c r="H6" s="46"/>
      <c r="I6" s="47" t="str">
        <f t="shared" si="0"/>
        <v/>
      </c>
      <c r="J6" s="47" t="str">
        <f t="shared" si="1"/>
        <v/>
      </c>
      <c r="K6" s="32" t="str">
        <f>calc3!BX7</f>
        <v>vítěz utkání 2st-9</v>
      </c>
      <c r="L6" s="32">
        <f>calc3!BZ7</f>
        <v>0</v>
      </c>
      <c r="M6" s="32">
        <f>calc3!CB7</f>
        <v>0</v>
      </c>
      <c r="N6" s="32" t="str">
        <f>calc3!CF7</f>
        <v>0:0</v>
      </c>
      <c r="O6" s="32">
        <f>calc3!CE7</f>
        <v>0</v>
      </c>
      <c r="Q6" s="32">
        <f>calc3!CA7</f>
        <v>0</v>
      </c>
    </row>
    <row r="7" spans="1:17" x14ac:dyDescent="0.2">
      <c r="A7" s="49" t="e">
        <f>IF(OR(B7&gt;B30,B7=B30),A30,A30+'3-los'!$F$31)</f>
        <v>#REF!</v>
      </c>
      <c r="B7" s="38">
        <f>IF(B30=8,1,IF(B30='3-los'!$F$28,1,B30+1))</f>
        <v>1</v>
      </c>
      <c r="C7" s="38" t="s">
        <v>171</v>
      </c>
      <c r="D7" s="32" t="str">
        <f>'3-los'!B22</f>
        <v>vítěz utkání 2st-9</v>
      </c>
      <c r="E7" s="39" t="str">
        <f>'3-los'!B23</f>
        <v>vítěz utkání 2st-16</v>
      </c>
      <c r="F7" s="45"/>
      <c r="G7" s="45"/>
      <c r="H7" s="46"/>
      <c r="I7" s="47" t="str">
        <f t="shared" si="0"/>
        <v/>
      </c>
      <c r="J7" s="47" t="str">
        <f t="shared" si="1"/>
        <v/>
      </c>
      <c r="K7" s="390"/>
      <c r="L7" s="391"/>
      <c r="M7" s="391"/>
      <c r="N7" s="391"/>
      <c r="O7" s="391"/>
    </row>
    <row r="8" spans="1:17" x14ac:dyDescent="0.2">
      <c r="A8" s="49" t="e">
        <f>IF(OR(B8&gt;B31,B8=B31),A31,A31+'3-los'!$F$31)</f>
        <v>#REF!</v>
      </c>
      <c r="B8" s="38">
        <f>IF(B31='3-los'!$F$28,1,B31+1)</f>
        <v>5</v>
      </c>
      <c r="C8" s="38" t="s">
        <v>172</v>
      </c>
      <c r="D8" s="32" t="str">
        <f>'3-los'!B20</f>
        <v>vítěz utkání 2st-1</v>
      </c>
      <c r="E8" s="39" t="str">
        <f>'3-los'!B21</f>
        <v>vítěz utkání 2st-8</v>
      </c>
      <c r="F8" s="45"/>
      <c r="G8" s="45"/>
      <c r="H8" s="46"/>
      <c r="I8" s="47" t="str">
        <f t="shared" si="0"/>
        <v/>
      </c>
      <c r="J8" s="47" t="str">
        <f t="shared" si="1"/>
        <v/>
      </c>
      <c r="K8" s="390"/>
      <c r="L8" s="391"/>
      <c r="M8" s="391"/>
      <c r="N8" s="391"/>
      <c r="O8" s="391"/>
    </row>
    <row r="9" spans="1:17" x14ac:dyDescent="0.2">
      <c r="A9" s="50" t="str">
        <f>'3-los'!A24:B24</f>
        <v>skupina 3B</v>
      </c>
      <c r="B9" s="50"/>
      <c r="C9" s="50"/>
      <c r="D9" s="167"/>
      <c r="E9" s="31"/>
      <c r="F9" s="31"/>
      <c r="G9" s="31"/>
      <c r="H9" s="31"/>
      <c r="I9" s="31"/>
      <c r="J9" s="31"/>
      <c r="K9" s="171" t="str">
        <f>A9</f>
        <v>skupina 3B</v>
      </c>
      <c r="L9" s="168"/>
      <c r="M9" s="168"/>
      <c r="N9" s="168"/>
      <c r="O9" s="168"/>
    </row>
    <row r="10" spans="1:17" x14ac:dyDescent="0.2">
      <c r="A10" s="48" t="s">
        <v>59</v>
      </c>
      <c r="B10" s="34" t="s">
        <v>60</v>
      </c>
      <c r="C10" s="34" t="s">
        <v>159</v>
      </c>
      <c r="D10" s="33" t="s">
        <v>61</v>
      </c>
      <c r="E10" s="35" t="s">
        <v>62</v>
      </c>
      <c r="F10" s="35"/>
      <c r="G10" s="35"/>
      <c r="H10" s="35"/>
      <c r="I10" s="33"/>
      <c r="J10" s="33"/>
      <c r="K10" s="36" t="s">
        <v>63</v>
      </c>
      <c r="L10" s="37" t="s">
        <v>64</v>
      </c>
      <c r="M10" s="37" t="s">
        <v>65</v>
      </c>
      <c r="N10" s="127" t="s">
        <v>66</v>
      </c>
      <c r="O10" s="37" t="s">
        <v>57</v>
      </c>
      <c r="Q10" s="37" t="s">
        <v>58</v>
      </c>
    </row>
    <row r="11" spans="1:17" x14ac:dyDescent="0.2">
      <c r="A11" s="49" t="e">
        <f>IF(OR(B11&gt;B3,B11=B3),A3,A3+'3-los'!$F$31)</f>
        <v>#REF!</v>
      </c>
      <c r="B11" s="38">
        <f>IF(B3='3-los'!$F$28,1,B3+1)</f>
        <v>2</v>
      </c>
      <c r="C11" s="38" t="s">
        <v>173</v>
      </c>
      <c r="D11" s="32" t="str">
        <f>'3-los'!B25</f>
        <v>vítěz utkání 2st-2</v>
      </c>
      <c r="E11" s="39" t="str">
        <f>'3-los'!B28</f>
        <v>vítěz utkání 2st-15</v>
      </c>
      <c r="F11" s="45"/>
      <c r="G11" s="45"/>
      <c r="H11" s="46"/>
      <c r="I11" s="47" t="str">
        <f t="shared" ref="I11:I16" si="2">IF(F11="","",((IF(F11&gt;0,1,0)+IF(G11&gt;0,1,0)+IF(H11&gt;0,1,0))))</f>
        <v/>
      </c>
      <c r="J11" s="47" t="str">
        <f t="shared" ref="J11:J16" si="3">IF(F11="","",IF(F11&gt;0,0,1)+IF(G11="",0,IF(G11&gt;0,0,1))+IF(H11="",0,IF(H11&gt;0,0,1)))</f>
        <v/>
      </c>
      <c r="K11" s="32" t="str">
        <f>calc3!BX14</f>
        <v>vítěz utkání 2st-2</v>
      </c>
      <c r="L11" s="32">
        <f>calc3!BZ14</f>
        <v>0</v>
      </c>
      <c r="M11" s="32">
        <f>calc3!CB14</f>
        <v>0</v>
      </c>
      <c r="N11" s="32" t="str">
        <f>calc3!CF14</f>
        <v>0:0</v>
      </c>
      <c r="O11" s="32">
        <f>calc3!CE14</f>
        <v>0</v>
      </c>
      <c r="Q11" s="32">
        <f>calc3!CA14</f>
        <v>0</v>
      </c>
    </row>
    <row r="12" spans="1:17" x14ac:dyDescent="0.2">
      <c r="A12" s="49" t="e">
        <f>IF(OR(B12&gt;B4,B12=B4),A4,A4+'3-los'!$F$31)</f>
        <v>#REF!</v>
      </c>
      <c r="B12" s="38">
        <f>IF(B4='3-los'!$F$28,1,B4+1)</f>
        <v>6</v>
      </c>
      <c r="C12" s="38" t="s">
        <v>174</v>
      </c>
      <c r="D12" s="32" t="str">
        <f>'3-los'!B26</f>
        <v>vítěz utkání 2st-7</v>
      </c>
      <c r="E12" s="39" t="str">
        <f>'3-los'!B27</f>
        <v>vítěz utkání 2st-10</v>
      </c>
      <c r="F12" s="45"/>
      <c r="G12" s="45"/>
      <c r="H12" s="46"/>
      <c r="I12" s="47" t="str">
        <f t="shared" si="2"/>
        <v/>
      </c>
      <c r="J12" s="47" t="str">
        <f t="shared" si="3"/>
        <v/>
      </c>
      <c r="K12" s="32" t="str">
        <f>calc3!BX15</f>
        <v>vítěz utkání 2st-15</v>
      </c>
      <c r="L12" s="32">
        <f>calc3!BZ15</f>
        <v>0</v>
      </c>
      <c r="M12" s="32">
        <f>calc3!CB15</f>
        <v>0</v>
      </c>
      <c r="N12" s="32" t="str">
        <f>calc3!CF15</f>
        <v>0:0</v>
      </c>
      <c r="O12" s="32">
        <f>calc3!CE15</f>
        <v>0</v>
      </c>
      <c r="Q12" s="32">
        <f>calc3!CA15</f>
        <v>0</v>
      </c>
    </row>
    <row r="13" spans="1:17" x14ac:dyDescent="0.2">
      <c r="A13" s="49" t="e">
        <f>IF(OR(B13&gt;B5,B13=B5),A5,A5+'3-los'!$F$31)</f>
        <v>#REF!</v>
      </c>
      <c r="B13" s="38">
        <f>IF(B5='3-los'!$F$28,1,B5+1)</f>
        <v>2</v>
      </c>
      <c r="C13" s="38" t="s">
        <v>175</v>
      </c>
      <c r="D13" s="32" t="str">
        <f>'3-los'!B28</f>
        <v>vítěz utkání 2st-15</v>
      </c>
      <c r="E13" s="39" t="str">
        <f>'3-los'!B26</f>
        <v>vítěz utkání 2st-7</v>
      </c>
      <c r="F13" s="45"/>
      <c r="G13" s="45"/>
      <c r="H13" s="46"/>
      <c r="I13" s="47" t="str">
        <f t="shared" si="2"/>
        <v/>
      </c>
      <c r="J13" s="47" t="str">
        <f t="shared" si="3"/>
        <v/>
      </c>
      <c r="K13" s="32" t="str">
        <f>calc3!BX16</f>
        <v>vítěz utkání 2st-7</v>
      </c>
      <c r="L13" s="32">
        <f>calc3!BZ16</f>
        <v>0</v>
      </c>
      <c r="M13" s="32">
        <f>calc3!CB16</f>
        <v>0</v>
      </c>
      <c r="N13" s="32" t="str">
        <f>calc3!CF16</f>
        <v>0:0</v>
      </c>
      <c r="O13" s="32">
        <f>calc3!CE16</f>
        <v>0</v>
      </c>
      <c r="Q13" s="32">
        <f>calc3!CA16</f>
        <v>0</v>
      </c>
    </row>
    <row r="14" spans="1:17" x14ac:dyDescent="0.2">
      <c r="A14" s="49" t="e">
        <f>IF(OR(B14&gt;B6,B14=B6),A6,A6+'3-los'!$F$31)</f>
        <v>#REF!</v>
      </c>
      <c r="B14" s="38">
        <f>IF(B6='3-los'!$F$28,1,B6+1)</f>
        <v>6</v>
      </c>
      <c r="C14" s="38" t="s">
        <v>176</v>
      </c>
      <c r="D14" s="32" t="str">
        <f>'3-los'!B27</f>
        <v>vítěz utkání 2st-10</v>
      </c>
      <c r="E14" s="39" t="str">
        <f>'3-los'!B25</f>
        <v>vítěz utkání 2st-2</v>
      </c>
      <c r="F14" s="45"/>
      <c r="G14" s="45"/>
      <c r="H14" s="46"/>
      <c r="I14" s="47" t="str">
        <f t="shared" si="2"/>
        <v/>
      </c>
      <c r="J14" s="47" t="str">
        <f t="shared" si="3"/>
        <v/>
      </c>
      <c r="K14" s="32" t="str">
        <f>calc3!BX17</f>
        <v>vítěz utkání 2st-10</v>
      </c>
      <c r="L14" s="32">
        <f>calc3!BZ17</f>
        <v>0</v>
      </c>
      <c r="M14" s="32">
        <f>calc3!CB17</f>
        <v>0</v>
      </c>
      <c r="N14" s="32" t="str">
        <f>calc3!CF17</f>
        <v>0:0</v>
      </c>
      <c r="O14" s="32">
        <f>calc3!CE17</f>
        <v>0</v>
      </c>
      <c r="Q14" s="32">
        <f>calc3!CA17</f>
        <v>0</v>
      </c>
    </row>
    <row r="15" spans="1:17" x14ac:dyDescent="0.2">
      <c r="A15" s="49" t="e">
        <f>IF(OR(B15&gt;B7,B15=B7),A7,A7+'3-los'!$F$31)</f>
        <v>#REF!</v>
      </c>
      <c r="B15" s="38">
        <f>IF(B7='3-los'!$F$28,1,B7+1)</f>
        <v>2</v>
      </c>
      <c r="C15" s="38" t="s">
        <v>177</v>
      </c>
      <c r="D15" s="32" t="str">
        <f>'3-los'!B27</f>
        <v>vítěz utkání 2st-10</v>
      </c>
      <c r="E15" s="39" t="str">
        <f>'3-los'!B28</f>
        <v>vítěz utkání 2st-15</v>
      </c>
      <c r="F15" s="45"/>
      <c r="G15" s="45"/>
      <c r="H15" s="46"/>
      <c r="I15" s="47" t="str">
        <f t="shared" si="2"/>
        <v/>
      </c>
      <c r="J15" s="47" t="str">
        <f t="shared" si="3"/>
        <v/>
      </c>
      <c r="K15" s="390"/>
      <c r="L15" s="391"/>
      <c r="M15" s="391"/>
      <c r="N15" s="391"/>
      <c r="O15" s="391"/>
    </row>
    <row r="16" spans="1:17" x14ac:dyDescent="0.2">
      <c r="A16" s="49" t="e">
        <f>IF(OR(B16&gt;B8,B16=B8),A8,A8+'3-los'!$F$31)</f>
        <v>#REF!</v>
      </c>
      <c r="B16" s="38">
        <f>IF(B8='3-los'!$F$28,1,B8+1)</f>
        <v>6</v>
      </c>
      <c r="C16" s="38" t="s">
        <v>178</v>
      </c>
      <c r="D16" s="32" t="str">
        <f>'3-los'!B25</f>
        <v>vítěz utkání 2st-2</v>
      </c>
      <c r="E16" s="39" t="str">
        <f>'3-los'!B26</f>
        <v>vítěz utkání 2st-7</v>
      </c>
      <c r="F16" s="45"/>
      <c r="G16" s="45"/>
      <c r="H16" s="46"/>
      <c r="I16" s="47" t="str">
        <f t="shared" si="2"/>
        <v/>
      </c>
      <c r="J16" s="47" t="str">
        <f t="shared" si="3"/>
        <v/>
      </c>
      <c r="K16" s="390"/>
      <c r="L16" s="391"/>
      <c r="M16" s="391"/>
      <c r="N16" s="391"/>
      <c r="O16" s="391"/>
    </row>
    <row r="17" spans="1:17" x14ac:dyDescent="0.2">
      <c r="A17" s="50" t="str">
        <f>'3-los'!A29</f>
        <v>skupina 3C</v>
      </c>
      <c r="B17" s="50"/>
      <c r="C17" s="50"/>
      <c r="D17" s="167"/>
      <c r="E17" s="31"/>
      <c r="F17" s="31"/>
      <c r="G17" s="31"/>
      <c r="H17" s="31"/>
      <c r="I17" s="31"/>
      <c r="J17" s="31"/>
      <c r="K17" s="171" t="str">
        <f>A17</f>
        <v>skupina 3C</v>
      </c>
      <c r="L17" s="168"/>
      <c r="M17" s="168"/>
      <c r="N17" s="168"/>
      <c r="O17" s="168"/>
    </row>
    <row r="18" spans="1:17" x14ac:dyDescent="0.2">
      <c r="A18" s="48" t="s">
        <v>59</v>
      </c>
      <c r="B18" s="34" t="s">
        <v>60</v>
      </c>
      <c r="C18" s="34" t="s">
        <v>159</v>
      </c>
      <c r="D18" s="33" t="s">
        <v>61</v>
      </c>
      <c r="E18" s="35" t="s">
        <v>62</v>
      </c>
      <c r="F18" s="35"/>
      <c r="G18" s="35"/>
      <c r="H18" s="35"/>
      <c r="I18" s="33"/>
      <c r="J18" s="33"/>
      <c r="K18" s="36" t="s">
        <v>63</v>
      </c>
      <c r="L18" s="37" t="s">
        <v>64</v>
      </c>
      <c r="M18" s="37" t="s">
        <v>65</v>
      </c>
      <c r="N18" s="127" t="s">
        <v>66</v>
      </c>
      <c r="O18" s="37" t="s">
        <v>57</v>
      </c>
      <c r="Q18" s="37" t="s">
        <v>58</v>
      </c>
    </row>
    <row r="19" spans="1:17" x14ac:dyDescent="0.2">
      <c r="A19" s="49" t="e">
        <f>IF(OR(B19&gt;B11,B19=B11),A11,A11+'3-los'!$F$31)</f>
        <v>#REF!</v>
      </c>
      <c r="B19" s="38">
        <f>IF(B11='3-los'!$F$28,1,B11+1)</f>
        <v>3</v>
      </c>
      <c r="C19" s="38" t="s">
        <v>179</v>
      </c>
      <c r="D19" s="32" t="str">
        <f>'3-los'!B30</f>
        <v>vítěz utkání 2st-3</v>
      </c>
      <c r="E19" s="39" t="str">
        <f>'3-los'!B33</f>
        <v>vítěz utkání 2st-14</v>
      </c>
      <c r="F19" s="45"/>
      <c r="G19" s="45"/>
      <c r="H19" s="46"/>
      <c r="I19" s="47" t="str">
        <f t="shared" ref="I19:I24" si="4">IF(F19="","",((IF(F19&gt;0,1,0)+IF(G19&gt;0,1,0)+IF(H19&gt;0,1,0))))</f>
        <v/>
      </c>
      <c r="J19" s="47" t="str">
        <f t="shared" ref="J19:J24" si="5">IF(F19="","",IF(F19&gt;0,0,1)+IF(G19="",0,IF(G19&gt;0,0,1))+IF(H19="",0,IF(H19&gt;0,0,1)))</f>
        <v/>
      </c>
      <c r="K19" s="32" t="str">
        <f>calc3!BX24</f>
        <v>vítěz utkání 2st-3</v>
      </c>
      <c r="L19" s="32">
        <f>calc3!BZ24</f>
        <v>0</v>
      </c>
      <c r="M19" s="32">
        <f>calc3!CB24</f>
        <v>0</v>
      </c>
      <c r="N19" s="32" t="str">
        <f>calc3!CF24</f>
        <v>0:0</v>
      </c>
      <c r="O19" s="32">
        <f>calc3!CE24</f>
        <v>0</v>
      </c>
      <c r="Q19" s="32">
        <f>calc3!CA24</f>
        <v>0</v>
      </c>
    </row>
    <row r="20" spans="1:17" x14ac:dyDescent="0.2">
      <c r="A20" s="49" t="e">
        <f>IF(OR(B20&gt;B12,B20=B12),A12,A12+'3-los'!$F$31)</f>
        <v>#REF!</v>
      </c>
      <c r="B20" s="38">
        <f>IF(B12='3-los'!$F$28,1,B12+1)</f>
        <v>7</v>
      </c>
      <c r="C20" s="38" t="s">
        <v>180</v>
      </c>
      <c r="D20" s="32" t="str">
        <f>'3-los'!B31</f>
        <v>vítěz utkání 2st-6</v>
      </c>
      <c r="E20" s="39" t="str">
        <f>'3-los'!B32</f>
        <v>vítěz utkání 2st-11</v>
      </c>
      <c r="F20" s="45"/>
      <c r="G20" s="45"/>
      <c r="H20" s="46"/>
      <c r="I20" s="47" t="str">
        <f t="shared" si="4"/>
        <v/>
      </c>
      <c r="J20" s="47" t="str">
        <f t="shared" si="5"/>
        <v/>
      </c>
      <c r="K20" s="32" t="str">
        <f>calc3!BX25</f>
        <v>vítěz utkání 2st-14</v>
      </c>
      <c r="L20" s="32">
        <f>calc3!BZ25</f>
        <v>0</v>
      </c>
      <c r="M20" s="32">
        <f>calc3!CB25</f>
        <v>0</v>
      </c>
      <c r="N20" s="32" t="str">
        <f>calc3!CF25</f>
        <v>0:0</v>
      </c>
      <c r="O20" s="32">
        <f>calc3!CE25</f>
        <v>0</v>
      </c>
      <c r="Q20" s="32">
        <f>calc3!CA25</f>
        <v>0</v>
      </c>
    </row>
    <row r="21" spans="1:17" x14ac:dyDescent="0.2">
      <c r="A21" s="49" t="e">
        <f>IF(OR(B21&gt;B13,B21=B13),A13,A13+'3-los'!$F$31)</f>
        <v>#REF!</v>
      </c>
      <c r="B21" s="38">
        <f>IF(B13='3-los'!$F$28,1,B13+1)</f>
        <v>3</v>
      </c>
      <c r="C21" s="38" t="s">
        <v>181</v>
      </c>
      <c r="D21" s="32" t="str">
        <f>'3-los'!B33</f>
        <v>vítěz utkání 2st-14</v>
      </c>
      <c r="E21" s="39" t="str">
        <f>'3-los'!B31</f>
        <v>vítěz utkání 2st-6</v>
      </c>
      <c r="F21" s="45"/>
      <c r="G21" s="45"/>
      <c r="H21" s="46"/>
      <c r="I21" s="47" t="str">
        <f t="shared" si="4"/>
        <v/>
      </c>
      <c r="J21" s="47" t="str">
        <f t="shared" si="5"/>
        <v/>
      </c>
      <c r="K21" s="32" t="str">
        <f>calc3!BX26</f>
        <v>vítěz utkání 2st-6</v>
      </c>
      <c r="L21" s="32">
        <f>calc3!BZ26</f>
        <v>0</v>
      </c>
      <c r="M21" s="32">
        <f>calc3!CB26</f>
        <v>0</v>
      </c>
      <c r="N21" s="32" t="str">
        <f>calc3!CF26</f>
        <v>0:0</v>
      </c>
      <c r="O21" s="32">
        <f>calc3!CE26</f>
        <v>0</v>
      </c>
      <c r="Q21" s="32">
        <f>calc3!CA26</f>
        <v>0</v>
      </c>
    </row>
    <row r="22" spans="1:17" x14ac:dyDescent="0.2">
      <c r="A22" s="49" t="e">
        <f>IF(OR(B22&gt;B14,B22=B14),A14,A14+'3-los'!$F$31)</f>
        <v>#REF!</v>
      </c>
      <c r="B22" s="38">
        <f>IF(B14='3-los'!$F$28,1,B14+1)</f>
        <v>7</v>
      </c>
      <c r="C22" s="38" t="s">
        <v>182</v>
      </c>
      <c r="D22" s="32" t="str">
        <f>'3-los'!B32</f>
        <v>vítěz utkání 2st-11</v>
      </c>
      <c r="E22" s="39" t="str">
        <f>'3-los'!B30</f>
        <v>vítěz utkání 2st-3</v>
      </c>
      <c r="F22" s="45"/>
      <c r="G22" s="45"/>
      <c r="H22" s="46"/>
      <c r="I22" s="47" t="str">
        <f t="shared" si="4"/>
        <v/>
      </c>
      <c r="J22" s="47" t="str">
        <f t="shared" si="5"/>
        <v/>
      </c>
      <c r="K22" s="32" t="str">
        <f>calc3!BX27</f>
        <v>vítěz utkání 2st-11</v>
      </c>
      <c r="L22" s="32">
        <f>calc3!BZ27</f>
        <v>0</v>
      </c>
      <c r="M22" s="32">
        <f>calc3!CB27</f>
        <v>0</v>
      </c>
      <c r="N22" s="32" t="str">
        <f>calc3!CF27</f>
        <v>0:0</v>
      </c>
      <c r="O22" s="32">
        <f>calc3!CE27</f>
        <v>0</v>
      </c>
      <c r="Q22" s="32">
        <f>calc3!CA27</f>
        <v>0</v>
      </c>
    </row>
    <row r="23" spans="1:17" x14ac:dyDescent="0.2">
      <c r="A23" s="49" t="e">
        <f>IF(OR(B23&gt;B15,B23=B15),A15,A15+'3-los'!$F$31)</f>
        <v>#REF!</v>
      </c>
      <c r="B23" s="38">
        <f>IF(B15='3-los'!$F$28,1,B15+1)</f>
        <v>3</v>
      </c>
      <c r="C23" s="38" t="s">
        <v>183</v>
      </c>
      <c r="D23" s="32" t="str">
        <f>'3-los'!B32</f>
        <v>vítěz utkání 2st-11</v>
      </c>
      <c r="E23" s="39" t="str">
        <f>'3-los'!B33</f>
        <v>vítěz utkání 2st-14</v>
      </c>
      <c r="F23" s="45"/>
      <c r="G23" s="45"/>
      <c r="H23" s="46"/>
      <c r="I23" s="47" t="str">
        <f t="shared" si="4"/>
        <v/>
      </c>
      <c r="J23" s="47" t="str">
        <f t="shared" si="5"/>
        <v/>
      </c>
      <c r="K23" s="390"/>
      <c r="L23" s="391"/>
      <c r="M23" s="391"/>
      <c r="N23" s="391"/>
      <c r="O23" s="391"/>
    </row>
    <row r="24" spans="1:17" x14ac:dyDescent="0.2">
      <c r="A24" s="49" t="e">
        <f>IF(OR(B24&gt;B16,B24=B16),A16,A16+'3-los'!$F$31)</f>
        <v>#REF!</v>
      </c>
      <c r="B24" s="38">
        <f>IF(B16='3-los'!$F$28,1,B16+1)</f>
        <v>7</v>
      </c>
      <c r="C24" s="38" t="s">
        <v>184</v>
      </c>
      <c r="D24" s="32" t="str">
        <f>'3-los'!B30</f>
        <v>vítěz utkání 2st-3</v>
      </c>
      <c r="E24" s="39" t="str">
        <f>'3-los'!B31</f>
        <v>vítěz utkání 2st-6</v>
      </c>
      <c r="F24" s="45"/>
      <c r="G24" s="45"/>
      <c r="H24" s="46"/>
      <c r="I24" s="47" t="str">
        <f t="shared" si="4"/>
        <v/>
      </c>
      <c r="J24" s="47" t="str">
        <f t="shared" si="5"/>
        <v/>
      </c>
      <c r="K24" s="390"/>
      <c r="L24" s="391"/>
      <c r="M24" s="391"/>
      <c r="N24" s="391"/>
      <c r="O24" s="391"/>
    </row>
    <row r="25" spans="1:17" x14ac:dyDescent="0.2">
      <c r="A25" s="50" t="str">
        <f>'3-los'!A34</f>
        <v>skupina 3D</v>
      </c>
      <c r="B25" s="50"/>
      <c r="C25" s="50"/>
      <c r="D25" s="167"/>
      <c r="E25" s="31"/>
      <c r="F25" s="31"/>
      <c r="G25" s="31"/>
      <c r="H25" s="31"/>
      <c r="I25" s="31"/>
      <c r="J25" s="31"/>
      <c r="K25" s="171" t="str">
        <f>A25</f>
        <v>skupina 3D</v>
      </c>
      <c r="L25" s="168"/>
      <c r="M25" s="168"/>
      <c r="N25" s="168"/>
      <c r="O25" s="168"/>
    </row>
    <row r="26" spans="1:17" x14ac:dyDescent="0.2">
      <c r="A26" s="48" t="s">
        <v>59</v>
      </c>
      <c r="B26" s="34" t="s">
        <v>60</v>
      </c>
      <c r="C26" s="34" t="s">
        <v>159</v>
      </c>
      <c r="D26" s="33" t="s">
        <v>61</v>
      </c>
      <c r="E26" s="35" t="s">
        <v>62</v>
      </c>
      <c r="F26" s="35"/>
      <c r="G26" s="35"/>
      <c r="H26" s="35"/>
      <c r="I26" s="33"/>
      <c r="J26" s="33"/>
      <c r="K26" s="36" t="s">
        <v>63</v>
      </c>
      <c r="L26" s="37" t="s">
        <v>64</v>
      </c>
      <c r="M26" s="37" t="s">
        <v>65</v>
      </c>
      <c r="N26" s="127" t="s">
        <v>66</v>
      </c>
      <c r="O26" s="37" t="s">
        <v>57</v>
      </c>
      <c r="Q26" s="37" t="s">
        <v>58</v>
      </c>
    </row>
    <row r="27" spans="1:17" x14ac:dyDescent="0.2">
      <c r="A27" s="49" t="e">
        <f>IF(OR(B27&gt;B19,B27=B19),A19,A19+'3-los'!$F$31)</f>
        <v>#REF!</v>
      </c>
      <c r="B27" s="38">
        <f>IF(B19='3-los'!$F$28,1,B19+1)</f>
        <v>4</v>
      </c>
      <c r="C27" s="38" t="s">
        <v>185</v>
      </c>
      <c r="D27" s="32" t="str">
        <f>'3-los'!B35</f>
        <v>vítěz utkání 2st-4</v>
      </c>
      <c r="E27" s="39" t="str">
        <f>'3-los'!B38</f>
        <v>vítěz utkání 2st-13</v>
      </c>
      <c r="F27" s="45"/>
      <c r="G27" s="45"/>
      <c r="H27" s="46"/>
      <c r="I27" s="47" t="str">
        <f t="shared" ref="I27:I32" si="6">IF(F27="","",((IF(F27&gt;0,1,0)+IF(G27&gt;0,1,0)+IF(H27&gt;0,1,0))))</f>
        <v/>
      </c>
      <c r="J27" s="47" t="str">
        <f t="shared" ref="J27:J32" si="7">IF(F27="","",IF(F27&gt;0,0,1)+IF(G27="",0,IF(G27&gt;0,0,1))+IF(H27="",0,IF(H27&gt;0,0,1)))</f>
        <v/>
      </c>
      <c r="K27" s="32" t="str">
        <f>calc3!BX34</f>
        <v>vítěz utkání 2st-4</v>
      </c>
      <c r="L27" s="32">
        <f>calc3!BZ34</f>
        <v>0</v>
      </c>
      <c r="M27" s="32">
        <f>calc3!CB34</f>
        <v>0</v>
      </c>
      <c r="N27" s="32" t="str">
        <f>calc3!CF34</f>
        <v>0:0</v>
      </c>
      <c r="O27" s="32">
        <f>calc3!CE34</f>
        <v>0</v>
      </c>
      <c r="Q27" s="32">
        <f>calc3!CA34</f>
        <v>0</v>
      </c>
    </row>
    <row r="28" spans="1:17" x14ac:dyDescent="0.2">
      <c r="A28" s="49" t="e">
        <f>IF(OR(B28&gt;B20,B28=B20),A20,A20+'3-los'!$F$31)</f>
        <v>#REF!</v>
      </c>
      <c r="B28" s="38">
        <f>IF(B20='3-los'!$F$28,1,B20+1)</f>
        <v>8</v>
      </c>
      <c r="C28" s="38" t="s">
        <v>186</v>
      </c>
      <c r="D28" s="32" t="str">
        <f>'3-los'!B36</f>
        <v>vítěz utkání 2st-5</v>
      </c>
      <c r="E28" s="39" t="str">
        <f>'3-los'!B37</f>
        <v>vítěz utkání 2st-12</v>
      </c>
      <c r="F28" s="45"/>
      <c r="G28" s="45"/>
      <c r="H28" s="46"/>
      <c r="I28" s="47" t="str">
        <f t="shared" si="6"/>
        <v/>
      </c>
      <c r="J28" s="47" t="str">
        <f t="shared" si="7"/>
        <v/>
      </c>
      <c r="K28" s="32" t="str">
        <f>calc3!BX35</f>
        <v>vítěz utkání 2st-13</v>
      </c>
      <c r="L28" s="32">
        <f>calc3!BZ35</f>
        <v>0</v>
      </c>
      <c r="M28" s="32">
        <f>calc3!CB35</f>
        <v>0</v>
      </c>
      <c r="N28" s="32" t="str">
        <f>calc3!CF35</f>
        <v>0:0</v>
      </c>
      <c r="O28" s="32">
        <f>calc3!CE35</f>
        <v>0</v>
      </c>
      <c r="Q28" s="32">
        <f>calc3!CA35</f>
        <v>0</v>
      </c>
    </row>
    <row r="29" spans="1:17" x14ac:dyDescent="0.2">
      <c r="A29" s="49" t="e">
        <f>IF(OR(B29&gt;B21,B29=B21),A21,A21+'3-los'!$F$31)</f>
        <v>#REF!</v>
      </c>
      <c r="B29" s="38">
        <f>IF(B21='3-los'!$F$28,1,B21+1)</f>
        <v>4</v>
      </c>
      <c r="C29" s="38" t="s">
        <v>187</v>
      </c>
      <c r="D29" s="32" t="str">
        <f>'3-los'!B38</f>
        <v>vítěz utkání 2st-13</v>
      </c>
      <c r="E29" s="39" t="str">
        <f>'3-los'!B36</f>
        <v>vítěz utkání 2st-5</v>
      </c>
      <c r="F29" s="45"/>
      <c r="G29" s="45"/>
      <c r="H29" s="46"/>
      <c r="I29" s="47" t="str">
        <f t="shared" si="6"/>
        <v/>
      </c>
      <c r="J29" s="47" t="str">
        <f t="shared" si="7"/>
        <v/>
      </c>
      <c r="K29" s="32" t="str">
        <f>calc3!BX36</f>
        <v>vítěz utkání 2st-5</v>
      </c>
      <c r="L29" s="32">
        <f>calc3!BZ36</f>
        <v>0</v>
      </c>
      <c r="M29" s="32">
        <f>calc3!CB36</f>
        <v>0</v>
      </c>
      <c r="N29" s="32" t="str">
        <f>calc3!CF36</f>
        <v>0:0</v>
      </c>
      <c r="O29" s="32">
        <f>calc3!CE36</f>
        <v>0</v>
      </c>
      <c r="Q29" s="32">
        <f>calc3!CA36</f>
        <v>0</v>
      </c>
    </row>
    <row r="30" spans="1:17" x14ac:dyDescent="0.2">
      <c r="A30" s="49" t="e">
        <f>IF(OR(B30&gt;B22,B30=B22),A22,A22+'3-los'!$F$31)</f>
        <v>#REF!</v>
      </c>
      <c r="B30" s="38">
        <f>IF(B22='3-los'!$F$28,1,B22+1)</f>
        <v>8</v>
      </c>
      <c r="C30" s="38" t="s">
        <v>188</v>
      </c>
      <c r="D30" s="32" t="str">
        <f>'3-los'!B37</f>
        <v>vítěz utkání 2st-12</v>
      </c>
      <c r="E30" s="39" t="str">
        <f>'3-los'!B35</f>
        <v>vítěz utkání 2st-4</v>
      </c>
      <c r="F30" s="45"/>
      <c r="G30" s="45"/>
      <c r="H30" s="46"/>
      <c r="I30" s="47" t="str">
        <f t="shared" si="6"/>
        <v/>
      </c>
      <c r="J30" s="47" t="str">
        <f t="shared" si="7"/>
        <v/>
      </c>
      <c r="K30" s="32" t="str">
        <f>calc3!BX37</f>
        <v>vítěz utkání 2st-12</v>
      </c>
      <c r="L30" s="32">
        <f>calc3!BZ37</f>
        <v>0</v>
      </c>
      <c r="M30" s="32">
        <f>calc3!CB37</f>
        <v>0</v>
      </c>
      <c r="N30" s="32" t="str">
        <f>calc3!CF37</f>
        <v>0:0</v>
      </c>
      <c r="O30" s="32">
        <f>calc3!CE37</f>
        <v>0</v>
      </c>
      <c r="Q30" s="32">
        <f>calc3!CA37</f>
        <v>0</v>
      </c>
    </row>
    <row r="31" spans="1:17" x14ac:dyDescent="0.2">
      <c r="A31" s="49" t="e">
        <f>IF(OR(B31&gt;B23,B31=B23),A23,A23+'3-los'!$F$31)</f>
        <v>#REF!</v>
      </c>
      <c r="B31" s="38">
        <f>IF(B23='3-los'!$F$28,1,B23+1)</f>
        <v>4</v>
      </c>
      <c r="C31" s="38" t="s">
        <v>189</v>
      </c>
      <c r="D31" s="32" t="str">
        <f>'3-los'!B37</f>
        <v>vítěz utkání 2st-12</v>
      </c>
      <c r="E31" s="39" t="str">
        <f>'3-los'!B38</f>
        <v>vítěz utkání 2st-13</v>
      </c>
      <c r="F31" s="45"/>
      <c r="G31" s="45"/>
      <c r="H31" s="46"/>
      <c r="I31" s="47" t="str">
        <f t="shared" si="6"/>
        <v/>
      </c>
      <c r="J31" s="47" t="str">
        <f t="shared" si="7"/>
        <v/>
      </c>
      <c r="K31" s="390"/>
      <c r="L31" s="391"/>
      <c r="M31" s="391"/>
      <c r="N31" s="391"/>
      <c r="O31" s="391"/>
    </row>
    <row r="32" spans="1:17" x14ac:dyDescent="0.2">
      <c r="A32" s="49" t="e">
        <f>IF(OR(B32&gt;B24,B32=B24),A24,A24+'3-los'!$F$31)</f>
        <v>#REF!</v>
      </c>
      <c r="B32" s="38">
        <f>IF(B24='3-los'!$F$28,1,B24+1)</f>
        <v>8</v>
      </c>
      <c r="C32" s="38" t="s">
        <v>190</v>
      </c>
      <c r="D32" s="32" t="str">
        <f>'3-los'!B35</f>
        <v>vítěz utkání 2st-4</v>
      </c>
      <c r="E32" s="39" t="str">
        <f>'3-los'!B36</f>
        <v>vítěz utkání 2st-5</v>
      </c>
      <c r="F32" s="45"/>
      <c r="G32" s="45"/>
      <c r="H32" s="46"/>
      <c r="I32" s="47" t="str">
        <f t="shared" si="6"/>
        <v/>
      </c>
      <c r="J32" s="47" t="str">
        <f t="shared" si="7"/>
        <v/>
      </c>
      <c r="K32" s="390"/>
      <c r="L32" s="391"/>
      <c r="M32" s="391"/>
      <c r="N32" s="391"/>
      <c r="O32" s="391"/>
    </row>
  </sheetData>
  <mergeCells count="4">
    <mergeCell ref="K23:O24"/>
    <mergeCell ref="K31:O32"/>
    <mergeCell ref="K7:O8"/>
    <mergeCell ref="K15:O16"/>
  </mergeCells>
  <pageMargins left="0.74803149606299213" right="0.74803149606299213" top="0.98425196850393704" bottom="0.98425196850393704" header="0.51181102362204722" footer="0.51181102362204722"/>
  <pageSetup paperSize="9" fitToHeight="0" orientation="portrait" horizontalDpi="360" verticalDpi="300" r:id="rId1"/>
  <headerFooter alignWithMargins="0"/>
  <colBreaks count="1" manualBreakCount="1">
    <brk id="10" max="31"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5"/>
  <dimension ref="A1:R95"/>
  <sheetViews>
    <sheetView showGridLines="0" view="pageBreakPreview" topLeftCell="A45" zoomScaleNormal="100" workbookViewId="0">
      <selection activeCell="A45" sqref="A45"/>
    </sheetView>
  </sheetViews>
  <sheetFormatPr defaultRowHeight="12.75" x14ac:dyDescent="0.2"/>
  <cols>
    <col min="1" max="1" width="5.42578125" style="102" bestFit="1" customWidth="1"/>
    <col min="2" max="2" width="5.5703125" style="102" bestFit="1" customWidth="1"/>
    <col min="3" max="3" width="7.42578125" style="102" bestFit="1" customWidth="1"/>
    <col min="4" max="5" width="27.140625" style="89" bestFit="1" customWidth="1"/>
    <col min="6" max="8" width="5.7109375" style="90" bestFit="1" customWidth="1"/>
    <col min="9" max="9" width="8.140625" style="88" bestFit="1" customWidth="1"/>
    <col min="10" max="10" width="5.42578125" style="106" bestFit="1" customWidth="1"/>
    <col min="11" max="11" width="5.5703125" style="106" bestFit="1" customWidth="1"/>
    <col min="12" max="12" width="7.42578125" style="106" bestFit="1" customWidth="1"/>
    <col min="13" max="13" width="25.42578125" style="90" bestFit="1" customWidth="1"/>
    <col min="14" max="14" width="27.140625" style="90" bestFit="1" customWidth="1"/>
    <col min="15" max="17" width="5.7109375" style="90" bestFit="1" customWidth="1"/>
    <col min="18" max="18" width="8.140625" style="88" bestFit="1" customWidth="1"/>
    <col min="19" max="16384" width="9.140625" style="90"/>
  </cols>
  <sheetData>
    <row r="1" spans="1:9" ht="12" customHeight="1" x14ac:dyDescent="0.2">
      <c r="A1" s="103" t="s">
        <v>160</v>
      </c>
      <c r="B1" s="100" t="s">
        <v>60</v>
      </c>
      <c r="C1" s="100" t="s">
        <v>159</v>
      </c>
      <c r="D1" s="94" t="s">
        <v>96</v>
      </c>
      <c r="E1" s="94" t="s">
        <v>97</v>
      </c>
      <c r="F1" s="93" t="s">
        <v>162</v>
      </c>
      <c r="G1" s="93" t="s">
        <v>163</v>
      </c>
      <c r="H1" s="93" t="s">
        <v>164</v>
      </c>
      <c r="I1" s="95" t="s">
        <v>161</v>
      </c>
    </row>
    <row r="2" spans="1:9" ht="24.95" customHeight="1" x14ac:dyDescent="0.2">
      <c r="A2" s="104" t="e">
        <f>'3-zapasy'!A3</f>
        <v>#REF!</v>
      </c>
      <c r="B2" s="108">
        <f>'3-zapasy'!B3</f>
        <v>1</v>
      </c>
      <c r="C2" s="108" t="str">
        <f>'3-zapasy'!C3</f>
        <v>3A-1</v>
      </c>
      <c r="D2" s="109" t="str">
        <f>'3-zapasy'!D3</f>
        <v>vítěz utkání 2st-1</v>
      </c>
      <c r="E2" s="109" t="str">
        <f>'3-zapasy'!E3</f>
        <v>vítěz utkání 2st-16</v>
      </c>
      <c r="F2" s="96"/>
      <c r="G2" s="96"/>
      <c r="H2" s="96"/>
      <c r="I2" s="97"/>
    </row>
    <row r="3" spans="1:9" ht="23.25" customHeight="1" thickBot="1" x14ac:dyDescent="0.25">
      <c r="A3" s="429" t="s">
        <v>165</v>
      </c>
      <c r="B3" s="430"/>
      <c r="C3" s="430"/>
      <c r="D3" s="98" t="e">
        <f>pořadí!#REF!</f>
        <v>#REF!</v>
      </c>
      <c r="E3" s="92" t="s">
        <v>166</v>
      </c>
      <c r="F3" s="442"/>
      <c r="G3" s="442"/>
      <c r="H3" s="442"/>
      <c r="I3" s="443"/>
    </row>
    <row r="4" spans="1:9" ht="12" customHeight="1" thickBot="1" x14ac:dyDescent="0.25">
      <c r="A4" s="105"/>
    </row>
    <row r="5" spans="1:9" ht="12" customHeight="1" x14ac:dyDescent="0.2">
      <c r="A5" s="103" t="s">
        <v>160</v>
      </c>
      <c r="B5" s="100" t="s">
        <v>60</v>
      </c>
      <c r="C5" s="100" t="s">
        <v>159</v>
      </c>
      <c r="D5" s="94" t="s">
        <v>96</v>
      </c>
      <c r="E5" s="94" t="s">
        <v>97</v>
      </c>
      <c r="F5" s="93" t="s">
        <v>162</v>
      </c>
      <c r="G5" s="93" t="s">
        <v>163</v>
      </c>
      <c r="H5" s="93" t="s">
        <v>164</v>
      </c>
      <c r="I5" s="95" t="s">
        <v>161</v>
      </c>
    </row>
    <row r="6" spans="1:9" ht="24.95" customHeight="1" x14ac:dyDescent="0.2">
      <c r="A6" s="104" t="e">
        <f>'3-zapasy'!A11</f>
        <v>#REF!</v>
      </c>
      <c r="B6" s="108">
        <f>'3-zapasy'!B11</f>
        <v>2</v>
      </c>
      <c r="C6" s="108" t="str">
        <f>'3-zapasy'!C11</f>
        <v>3B-1</v>
      </c>
      <c r="D6" s="109" t="str">
        <f>'3-zapasy'!D11</f>
        <v>vítěz utkání 2st-2</v>
      </c>
      <c r="E6" s="109" t="str">
        <f>'3-zapasy'!E11</f>
        <v>vítěz utkání 2st-15</v>
      </c>
      <c r="F6" s="96"/>
      <c r="G6" s="96"/>
      <c r="H6" s="96"/>
      <c r="I6" s="97"/>
    </row>
    <row r="7" spans="1:9" ht="23.25" customHeight="1" thickBot="1" x14ac:dyDescent="0.25">
      <c r="A7" s="429" t="s">
        <v>165</v>
      </c>
      <c r="B7" s="430"/>
      <c r="C7" s="430"/>
      <c r="D7" s="98" t="e">
        <f>pořadí!#REF!</f>
        <v>#REF!</v>
      </c>
      <c r="E7" s="92" t="s">
        <v>166</v>
      </c>
      <c r="F7" s="442"/>
      <c r="G7" s="442"/>
      <c r="H7" s="442"/>
      <c r="I7" s="443"/>
    </row>
    <row r="8" spans="1:9" ht="12" customHeight="1" thickBot="1" x14ac:dyDescent="0.25">
      <c r="A8" s="105"/>
    </row>
    <row r="9" spans="1:9" ht="12" customHeight="1" x14ac:dyDescent="0.2">
      <c r="A9" s="103" t="s">
        <v>160</v>
      </c>
      <c r="B9" s="100" t="s">
        <v>60</v>
      </c>
      <c r="C9" s="100" t="s">
        <v>159</v>
      </c>
      <c r="D9" s="94" t="s">
        <v>96</v>
      </c>
      <c r="E9" s="94" t="s">
        <v>97</v>
      </c>
      <c r="F9" s="93" t="s">
        <v>162</v>
      </c>
      <c r="G9" s="93" t="s">
        <v>163</v>
      </c>
      <c r="H9" s="93" t="s">
        <v>164</v>
      </c>
      <c r="I9" s="95" t="s">
        <v>161</v>
      </c>
    </row>
    <row r="10" spans="1:9" ht="24.95" customHeight="1" x14ac:dyDescent="0.2">
      <c r="A10" s="104" t="e">
        <f>'3-zapasy'!A19</f>
        <v>#REF!</v>
      </c>
      <c r="B10" s="108">
        <f>'3-zapasy'!B19</f>
        <v>3</v>
      </c>
      <c r="C10" s="108" t="str">
        <f>'3-zapasy'!C19</f>
        <v>3C-1</v>
      </c>
      <c r="D10" s="109" t="str">
        <f>'3-zapasy'!D19</f>
        <v>vítěz utkání 2st-3</v>
      </c>
      <c r="E10" s="109" t="str">
        <f>'3-zapasy'!E19</f>
        <v>vítěz utkání 2st-14</v>
      </c>
      <c r="F10" s="96"/>
      <c r="G10" s="96"/>
      <c r="H10" s="96"/>
      <c r="I10" s="97"/>
    </row>
    <row r="11" spans="1:9" ht="23.25" customHeight="1" thickBot="1" x14ac:dyDescent="0.25">
      <c r="A11" s="429" t="s">
        <v>165</v>
      </c>
      <c r="B11" s="430"/>
      <c r="C11" s="430"/>
      <c r="D11" s="98" t="e">
        <f>pořadí!#REF!</f>
        <v>#REF!</v>
      </c>
      <c r="E11" s="92" t="s">
        <v>166</v>
      </c>
      <c r="F11" s="442"/>
      <c r="G11" s="442"/>
      <c r="H11" s="442"/>
      <c r="I11" s="443"/>
    </row>
    <row r="12" spans="1:9" s="91" customFormat="1" ht="13.5" thickBot="1" x14ac:dyDescent="0.25">
      <c r="A12" s="105"/>
      <c r="B12" s="102"/>
      <c r="C12" s="102"/>
      <c r="D12" s="89"/>
      <c r="E12" s="89"/>
      <c r="F12" s="90"/>
      <c r="G12" s="90"/>
      <c r="H12" s="90"/>
      <c r="I12" s="88"/>
    </row>
    <row r="13" spans="1:9" ht="12" customHeight="1" x14ac:dyDescent="0.2">
      <c r="A13" s="103" t="s">
        <v>160</v>
      </c>
      <c r="B13" s="100" t="s">
        <v>60</v>
      </c>
      <c r="C13" s="100" t="s">
        <v>159</v>
      </c>
      <c r="D13" s="94" t="s">
        <v>96</v>
      </c>
      <c r="E13" s="94" t="s">
        <v>97</v>
      </c>
      <c r="F13" s="93" t="s">
        <v>162</v>
      </c>
      <c r="G13" s="93" t="s">
        <v>163</v>
      </c>
      <c r="H13" s="93" t="s">
        <v>164</v>
      </c>
      <c r="I13" s="95" t="s">
        <v>161</v>
      </c>
    </row>
    <row r="14" spans="1:9" ht="24.95" customHeight="1" x14ac:dyDescent="0.2">
      <c r="A14" s="104" t="e">
        <f>'3-zapasy'!A27</f>
        <v>#REF!</v>
      </c>
      <c r="B14" s="108">
        <f>'3-zapasy'!B27</f>
        <v>4</v>
      </c>
      <c r="C14" s="108" t="str">
        <f>'3-zapasy'!C27</f>
        <v>3D-1</v>
      </c>
      <c r="D14" s="109" t="str">
        <f>'3-zapasy'!D27</f>
        <v>vítěz utkání 2st-4</v>
      </c>
      <c r="E14" s="109" t="str">
        <f>'3-zapasy'!E27</f>
        <v>vítěz utkání 2st-13</v>
      </c>
      <c r="F14" s="96"/>
      <c r="G14" s="96"/>
      <c r="H14" s="96"/>
      <c r="I14" s="97"/>
    </row>
    <row r="15" spans="1:9" ht="23.25" customHeight="1" thickBot="1" x14ac:dyDescent="0.25">
      <c r="A15" s="429" t="s">
        <v>165</v>
      </c>
      <c r="B15" s="430"/>
      <c r="C15" s="430"/>
      <c r="D15" s="98" t="e">
        <f>pořadí!#REF!</f>
        <v>#REF!</v>
      </c>
      <c r="E15" s="92" t="s">
        <v>166</v>
      </c>
      <c r="F15" s="442"/>
      <c r="G15" s="442"/>
      <c r="H15" s="442"/>
      <c r="I15" s="443"/>
    </row>
    <row r="16" spans="1:9" ht="12" customHeight="1" thickBot="1" x14ac:dyDescent="0.25">
      <c r="A16" s="105"/>
    </row>
    <row r="17" spans="1:9" ht="12" customHeight="1" x14ac:dyDescent="0.2">
      <c r="A17" s="103" t="s">
        <v>160</v>
      </c>
      <c r="B17" s="100" t="s">
        <v>60</v>
      </c>
      <c r="C17" s="100" t="s">
        <v>159</v>
      </c>
      <c r="D17" s="94" t="s">
        <v>96</v>
      </c>
      <c r="E17" s="94" t="s">
        <v>97</v>
      </c>
      <c r="F17" s="93" t="s">
        <v>162</v>
      </c>
      <c r="G17" s="93" t="s">
        <v>163</v>
      </c>
      <c r="H17" s="93" t="s">
        <v>164</v>
      </c>
      <c r="I17" s="95" t="s">
        <v>161</v>
      </c>
    </row>
    <row r="18" spans="1:9" ht="24.95" customHeight="1" x14ac:dyDescent="0.2">
      <c r="A18" s="104" t="e">
        <f>'3-zapasy'!A4</f>
        <v>#REF!</v>
      </c>
      <c r="B18" s="108">
        <f>'3-zapasy'!B4</f>
        <v>5</v>
      </c>
      <c r="C18" s="108" t="str">
        <f>'3-zapasy'!C4</f>
        <v>3A-2</v>
      </c>
      <c r="D18" s="109" t="str">
        <f>'3-zapasy'!D4</f>
        <v>vítěz utkání 2st-8</v>
      </c>
      <c r="E18" s="109" t="str">
        <f>'3-zapasy'!E4</f>
        <v>vítěz utkání 2st-9</v>
      </c>
      <c r="F18" s="96"/>
      <c r="G18" s="96"/>
      <c r="H18" s="96"/>
      <c r="I18" s="97"/>
    </row>
    <row r="19" spans="1:9" ht="23.25" customHeight="1" thickBot="1" x14ac:dyDescent="0.25">
      <c r="A19" s="429" t="s">
        <v>165</v>
      </c>
      <c r="B19" s="430"/>
      <c r="C19" s="430"/>
      <c r="D19" s="98" t="e">
        <f>pořadí!#REF!</f>
        <v>#REF!</v>
      </c>
      <c r="E19" s="92" t="s">
        <v>166</v>
      </c>
      <c r="F19" s="442"/>
      <c r="G19" s="442"/>
      <c r="H19" s="442"/>
      <c r="I19" s="443"/>
    </row>
    <row r="20" spans="1:9" ht="12" customHeight="1" thickBot="1" x14ac:dyDescent="0.25">
      <c r="A20" s="105"/>
    </row>
    <row r="21" spans="1:9" ht="12" customHeight="1" x14ac:dyDescent="0.2">
      <c r="A21" s="103" t="s">
        <v>160</v>
      </c>
      <c r="B21" s="100" t="s">
        <v>60</v>
      </c>
      <c r="C21" s="100" t="s">
        <v>159</v>
      </c>
      <c r="D21" s="94" t="s">
        <v>96</v>
      </c>
      <c r="E21" s="94" t="s">
        <v>97</v>
      </c>
      <c r="F21" s="93" t="s">
        <v>162</v>
      </c>
      <c r="G21" s="93" t="s">
        <v>163</v>
      </c>
      <c r="H21" s="93" t="s">
        <v>164</v>
      </c>
      <c r="I21" s="95" t="s">
        <v>161</v>
      </c>
    </row>
    <row r="22" spans="1:9" ht="24.95" customHeight="1" x14ac:dyDescent="0.2">
      <c r="A22" s="104" t="e">
        <f>'3-zapasy'!A12</f>
        <v>#REF!</v>
      </c>
      <c r="B22" s="108">
        <f>'3-zapasy'!B12</f>
        <v>6</v>
      </c>
      <c r="C22" s="108" t="str">
        <f>'3-zapasy'!C12</f>
        <v>3B-2</v>
      </c>
      <c r="D22" s="109" t="str">
        <f>'3-zapasy'!D12</f>
        <v>vítěz utkání 2st-7</v>
      </c>
      <c r="E22" s="109" t="str">
        <f>'3-zapasy'!E12</f>
        <v>vítěz utkání 2st-10</v>
      </c>
      <c r="F22" s="96"/>
      <c r="G22" s="96"/>
      <c r="H22" s="96"/>
      <c r="I22" s="97"/>
    </row>
    <row r="23" spans="1:9" ht="23.25" customHeight="1" thickBot="1" x14ac:dyDescent="0.25">
      <c r="A23" s="429" t="s">
        <v>165</v>
      </c>
      <c r="B23" s="430"/>
      <c r="C23" s="430"/>
      <c r="D23" s="98" t="e">
        <f>pořadí!#REF!</f>
        <v>#REF!</v>
      </c>
      <c r="E23" s="92" t="s">
        <v>166</v>
      </c>
      <c r="F23" s="442"/>
      <c r="G23" s="442"/>
      <c r="H23" s="442"/>
      <c r="I23" s="443"/>
    </row>
    <row r="24" spans="1:9" ht="12" customHeight="1" thickBot="1" x14ac:dyDescent="0.25">
      <c r="A24" s="105"/>
    </row>
    <row r="25" spans="1:9" ht="12" customHeight="1" x14ac:dyDescent="0.2">
      <c r="A25" s="103" t="s">
        <v>160</v>
      </c>
      <c r="B25" s="100" t="s">
        <v>60</v>
      </c>
      <c r="C25" s="100" t="s">
        <v>159</v>
      </c>
      <c r="D25" s="94" t="s">
        <v>96</v>
      </c>
      <c r="E25" s="94" t="s">
        <v>97</v>
      </c>
      <c r="F25" s="93" t="s">
        <v>162</v>
      </c>
      <c r="G25" s="93" t="s">
        <v>163</v>
      </c>
      <c r="H25" s="93" t="s">
        <v>164</v>
      </c>
      <c r="I25" s="95" t="s">
        <v>161</v>
      </c>
    </row>
    <row r="26" spans="1:9" ht="24.95" customHeight="1" x14ac:dyDescent="0.2">
      <c r="A26" s="104" t="e">
        <f>'3-zapasy'!A20</f>
        <v>#REF!</v>
      </c>
      <c r="B26" s="108">
        <f>'3-zapasy'!B20</f>
        <v>7</v>
      </c>
      <c r="C26" s="108" t="str">
        <f>'3-zapasy'!C20</f>
        <v>3C-2</v>
      </c>
      <c r="D26" s="109" t="str">
        <f>'3-zapasy'!D20</f>
        <v>vítěz utkání 2st-6</v>
      </c>
      <c r="E26" s="109" t="str">
        <f>'3-zapasy'!E20</f>
        <v>vítěz utkání 2st-11</v>
      </c>
      <c r="F26" s="96"/>
      <c r="G26" s="96"/>
      <c r="H26" s="96"/>
      <c r="I26" s="97"/>
    </row>
    <row r="27" spans="1:9" ht="23.25" customHeight="1" thickBot="1" x14ac:dyDescent="0.25">
      <c r="A27" s="429" t="s">
        <v>165</v>
      </c>
      <c r="B27" s="430"/>
      <c r="C27" s="430"/>
      <c r="D27" s="98" t="e">
        <f>pořadí!#REF!</f>
        <v>#REF!</v>
      </c>
      <c r="E27" s="92" t="s">
        <v>166</v>
      </c>
      <c r="F27" s="442"/>
      <c r="G27" s="442"/>
      <c r="H27" s="442"/>
      <c r="I27" s="443"/>
    </row>
    <row r="28" spans="1:9" ht="13.5" thickBot="1" x14ac:dyDescent="0.25">
      <c r="A28" s="105"/>
    </row>
    <row r="29" spans="1:9" ht="12" customHeight="1" x14ac:dyDescent="0.2">
      <c r="A29" s="103" t="s">
        <v>160</v>
      </c>
      <c r="B29" s="100" t="s">
        <v>60</v>
      </c>
      <c r="C29" s="100" t="s">
        <v>159</v>
      </c>
      <c r="D29" s="94" t="s">
        <v>96</v>
      </c>
      <c r="E29" s="94" t="s">
        <v>97</v>
      </c>
      <c r="F29" s="93" t="s">
        <v>162</v>
      </c>
      <c r="G29" s="93" t="s">
        <v>163</v>
      </c>
      <c r="H29" s="93" t="s">
        <v>164</v>
      </c>
      <c r="I29" s="95" t="s">
        <v>161</v>
      </c>
    </row>
    <row r="30" spans="1:9" ht="24.95" customHeight="1" x14ac:dyDescent="0.2">
      <c r="A30" s="104" t="e">
        <f>'3-zapasy'!A28</f>
        <v>#REF!</v>
      </c>
      <c r="B30" s="108">
        <f>'3-zapasy'!B28</f>
        <v>8</v>
      </c>
      <c r="C30" s="108" t="str">
        <f>'3-zapasy'!C28</f>
        <v>3D-2</v>
      </c>
      <c r="D30" s="109" t="str">
        <f>'3-zapasy'!D28</f>
        <v>vítěz utkání 2st-5</v>
      </c>
      <c r="E30" s="109" t="str">
        <f>'3-zapasy'!E28</f>
        <v>vítěz utkání 2st-12</v>
      </c>
      <c r="F30" s="96"/>
      <c r="G30" s="96"/>
      <c r="H30" s="96"/>
      <c r="I30" s="97"/>
    </row>
    <row r="31" spans="1:9" ht="23.25" customHeight="1" thickBot="1" x14ac:dyDescent="0.25">
      <c r="A31" s="429" t="s">
        <v>165</v>
      </c>
      <c r="B31" s="430"/>
      <c r="C31" s="430"/>
      <c r="D31" s="98" t="e">
        <f>pořadí!#REF!</f>
        <v>#REF!</v>
      </c>
      <c r="E31" s="92" t="s">
        <v>166</v>
      </c>
      <c r="F31" s="442"/>
      <c r="G31" s="442"/>
      <c r="H31" s="442"/>
      <c r="I31" s="443"/>
    </row>
    <row r="32" spans="1:9" ht="12" customHeight="1" thickBot="1" x14ac:dyDescent="0.25">
      <c r="A32" s="105"/>
    </row>
    <row r="33" spans="1:9" ht="12" customHeight="1" x14ac:dyDescent="0.2">
      <c r="A33" s="103" t="s">
        <v>160</v>
      </c>
      <c r="B33" s="100" t="s">
        <v>60</v>
      </c>
      <c r="C33" s="100" t="s">
        <v>159</v>
      </c>
      <c r="D33" s="94" t="s">
        <v>96</v>
      </c>
      <c r="E33" s="94" t="s">
        <v>97</v>
      </c>
      <c r="F33" s="93" t="s">
        <v>162</v>
      </c>
      <c r="G33" s="93" t="s">
        <v>163</v>
      </c>
      <c r="H33" s="93" t="s">
        <v>164</v>
      </c>
      <c r="I33" s="95" t="s">
        <v>161</v>
      </c>
    </row>
    <row r="34" spans="1:9" ht="24.95" customHeight="1" x14ac:dyDescent="0.2">
      <c r="A34" s="104" t="e">
        <f>'3-zapasy'!A5</f>
        <v>#REF!</v>
      </c>
      <c r="B34" s="108">
        <f>'3-zapasy'!B5</f>
        <v>1</v>
      </c>
      <c r="C34" s="108" t="str">
        <f>'3-zapasy'!C5</f>
        <v>3A-3</v>
      </c>
      <c r="D34" s="109" t="str">
        <f>'3-zapasy'!D5</f>
        <v>vítěz utkání 2st-16</v>
      </c>
      <c r="E34" s="109" t="str">
        <f>'3-zapasy'!E5</f>
        <v>vítěz utkání 2st-8</v>
      </c>
      <c r="F34" s="96"/>
      <c r="G34" s="96"/>
      <c r="H34" s="96"/>
      <c r="I34" s="97"/>
    </row>
    <row r="35" spans="1:9" ht="23.25" customHeight="1" thickBot="1" x14ac:dyDescent="0.25">
      <c r="A35" s="429" t="s">
        <v>165</v>
      </c>
      <c r="B35" s="430"/>
      <c r="C35" s="430"/>
      <c r="D35" s="98"/>
      <c r="E35" s="92" t="s">
        <v>166</v>
      </c>
      <c r="F35" s="442"/>
      <c r="G35" s="442"/>
      <c r="H35" s="442"/>
      <c r="I35" s="443"/>
    </row>
    <row r="36" spans="1:9" ht="12" customHeight="1" thickBot="1" x14ac:dyDescent="0.25">
      <c r="A36" s="105"/>
    </row>
    <row r="37" spans="1:9" ht="12" customHeight="1" x14ac:dyDescent="0.2">
      <c r="A37" s="103" t="s">
        <v>160</v>
      </c>
      <c r="B37" s="100" t="s">
        <v>60</v>
      </c>
      <c r="C37" s="100" t="s">
        <v>159</v>
      </c>
      <c r="D37" s="94" t="s">
        <v>96</v>
      </c>
      <c r="E37" s="94" t="s">
        <v>97</v>
      </c>
      <c r="F37" s="93" t="s">
        <v>162</v>
      </c>
      <c r="G37" s="93" t="s">
        <v>163</v>
      </c>
      <c r="H37" s="93" t="s">
        <v>164</v>
      </c>
      <c r="I37" s="95" t="s">
        <v>161</v>
      </c>
    </row>
    <row r="38" spans="1:9" ht="24.95" customHeight="1" x14ac:dyDescent="0.2">
      <c r="A38" s="104" t="e">
        <f>'3-zapasy'!A13</f>
        <v>#REF!</v>
      </c>
      <c r="B38" s="108">
        <f>'3-zapasy'!B13</f>
        <v>2</v>
      </c>
      <c r="C38" s="108" t="str">
        <f>'3-zapasy'!C13</f>
        <v>3B-3</v>
      </c>
      <c r="D38" s="109" t="str">
        <f>'3-zapasy'!D13</f>
        <v>vítěz utkání 2st-15</v>
      </c>
      <c r="E38" s="109" t="str">
        <f>'3-zapasy'!E13</f>
        <v>vítěz utkání 2st-7</v>
      </c>
      <c r="F38" s="96"/>
      <c r="G38" s="96"/>
      <c r="H38" s="96"/>
      <c r="I38" s="97"/>
    </row>
    <row r="39" spans="1:9" ht="23.25" customHeight="1" thickBot="1" x14ac:dyDescent="0.25">
      <c r="A39" s="429" t="s">
        <v>165</v>
      </c>
      <c r="B39" s="430"/>
      <c r="C39" s="430"/>
      <c r="D39" s="98"/>
      <c r="E39" s="92" t="s">
        <v>166</v>
      </c>
      <c r="F39" s="442"/>
      <c r="G39" s="442"/>
      <c r="H39" s="442"/>
      <c r="I39" s="443"/>
    </row>
    <row r="40" spans="1:9" s="91" customFormat="1" ht="13.5" thickBot="1" x14ac:dyDescent="0.25">
      <c r="A40" s="105"/>
      <c r="B40" s="102"/>
      <c r="C40" s="102"/>
      <c r="D40" s="89"/>
      <c r="E40" s="89"/>
      <c r="F40" s="90"/>
      <c r="G40" s="90"/>
      <c r="H40" s="90"/>
      <c r="I40" s="88"/>
    </row>
    <row r="41" spans="1:9" ht="12" customHeight="1" x14ac:dyDescent="0.2">
      <c r="A41" s="103" t="s">
        <v>160</v>
      </c>
      <c r="B41" s="100" t="s">
        <v>60</v>
      </c>
      <c r="C41" s="100" t="s">
        <v>159</v>
      </c>
      <c r="D41" s="94" t="s">
        <v>96</v>
      </c>
      <c r="E41" s="94" t="s">
        <v>97</v>
      </c>
      <c r="F41" s="93" t="s">
        <v>162</v>
      </c>
      <c r="G41" s="93" t="s">
        <v>163</v>
      </c>
      <c r="H41" s="93" t="s">
        <v>164</v>
      </c>
      <c r="I41" s="95" t="s">
        <v>161</v>
      </c>
    </row>
    <row r="42" spans="1:9" ht="24.95" customHeight="1" x14ac:dyDescent="0.2">
      <c r="A42" s="104" t="e">
        <f>'3-zapasy'!A21</f>
        <v>#REF!</v>
      </c>
      <c r="B42" s="108">
        <f>'3-zapasy'!B21</f>
        <v>3</v>
      </c>
      <c r="C42" s="108" t="str">
        <f>'3-zapasy'!C21</f>
        <v>3C-3</v>
      </c>
      <c r="D42" s="109" t="str">
        <f>'3-zapasy'!D21</f>
        <v>vítěz utkání 2st-14</v>
      </c>
      <c r="E42" s="109" t="str">
        <f>'3-zapasy'!E21</f>
        <v>vítěz utkání 2st-6</v>
      </c>
      <c r="F42" s="96"/>
      <c r="G42" s="96"/>
      <c r="H42" s="96"/>
      <c r="I42" s="97"/>
    </row>
    <row r="43" spans="1:9" ht="23.25" customHeight="1" thickBot="1" x14ac:dyDescent="0.25">
      <c r="A43" s="429" t="s">
        <v>165</v>
      </c>
      <c r="B43" s="430"/>
      <c r="C43" s="430"/>
      <c r="D43" s="98"/>
      <c r="E43" s="92" t="s">
        <v>166</v>
      </c>
      <c r="F43" s="442"/>
      <c r="G43" s="442"/>
      <c r="H43" s="442"/>
      <c r="I43" s="443"/>
    </row>
    <row r="44" spans="1:9" ht="12" customHeight="1" thickBot="1" x14ac:dyDescent="0.25">
      <c r="A44" s="105"/>
    </row>
    <row r="45" spans="1:9" ht="12" customHeight="1" x14ac:dyDescent="0.2">
      <c r="A45" s="103" t="s">
        <v>160</v>
      </c>
      <c r="B45" s="100" t="s">
        <v>60</v>
      </c>
      <c r="C45" s="100" t="s">
        <v>159</v>
      </c>
      <c r="D45" s="94" t="s">
        <v>96</v>
      </c>
      <c r="E45" s="94" t="s">
        <v>97</v>
      </c>
      <c r="F45" s="93" t="s">
        <v>162</v>
      </c>
      <c r="G45" s="93" t="s">
        <v>163</v>
      </c>
      <c r="H45" s="93" t="s">
        <v>164</v>
      </c>
      <c r="I45" s="95" t="s">
        <v>161</v>
      </c>
    </row>
    <row r="46" spans="1:9" ht="24.95" customHeight="1" x14ac:dyDescent="0.2">
      <c r="A46" s="104" t="e">
        <f>'3-zapasy'!A29</f>
        <v>#REF!</v>
      </c>
      <c r="B46" s="108">
        <f>'3-zapasy'!B29</f>
        <v>4</v>
      </c>
      <c r="C46" s="108" t="str">
        <f>'3-zapasy'!C29</f>
        <v>3D-3</v>
      </c>
      <c r="D46" s="109" t="str">
        <f>'3-zapasy'!D29</f>
        <v>vítěz utkání 2st-13</v>
      </c>
      <c r="E46" s="109" t="str">
        <f>'3-zapasy'!E29</f>
        <v>vítěz utkání 2st-5</v>
      </c>
      <c r="F46" s="96"/>
      <c r="G46" s="96"/>
      <c r="H46" s="96"/>
      <c r="I46" s="97"/>
    </row>
    <row r="47" spans="1:9" ht="23.25" customHeight="1" thickBot="1" x14ac:dyDescent="0.25">
      <c r="A47" s="429" t="s">
        <v>165</v>
      </c>
      <c r="B47" s="430"/>
      <c r="C47" s="430"/>
      <c r="D47" s="98"/>
      <c r="E47" s="92" t="s">
        <v>166</v>
      </c>
      <c r="F47" s="442"/>
      <c r="G47" s="442"/>
      <c r="H47" s="442"/>
      <c r="I47" s="443"/>
    </row>
    <row r="48" spans="1:9" ht="12" customHeight="1" thickBot="1" x14ac:dyDescent="0.25">
      <c r="A48" s="105"/>
    </row>
    <row r="49" spans="1:9" ht="12" customHeight="1" x14ac:dyDescent="0.2">
      <c r="A49" s="103" t="s">
        <v>160</v>
      </c>
      <c r="B49" s="100" t="s">
        <v>60</v>
      </c>
      <c r="C49" s="100" t="s">
        <v>159</v>
      </c>
      <c r="D49" s="94" t="s">
        <v>96</v>
      </c>
      <c r="E49" s="94" t="s">
        <v>97</v>
      </c>
      <c r="F49" s="93" t="s">
        <v>162</v>
      </c>
      <c r="G49" s="93" t="s">
        <v>163</v>
      </c>
      <c r="H49" s="93" t="s">
        <v>164</v>
      </c>
      <c r="I49" s="95" t="s">
        <v>161</v>
      </c>
    </row>
    <row r="50" spans="1:9" ht="24.95" customHeight="1" x14ac:dyDescent="0.2">
      <c r="A50" s="104" t="e">
        <f>'3-zapasy'!A6</f>
        <v>#REF!</v>
      </c>
      <c r="B50" s="108">
        <f>'3-zapasy'!B6</f>
        <v>5</v>
      </c>
      <c r="C50" s="108" t="str">
        <f>'3-zapasy'!C6</f>
        <v>3A-4</v>
      </c>
      <c r="D50" s="109" t="str">
        <f>'3-zapasy'!D6</f>
        <v>vítěz utkání 2st-9</v>
      </c>
      <c r="E50" s="109" t="str">
        <f>'3-zapasy'!E6</f>
        <v>vítěz utkání 2st-1</v>
      </c>
      <c r="F50" s="96"/>
      <c r="G50" s="96"/>
      <c r="H50" s="96"/>
      <c r="I50" s="97"/>
    </row>
    <row r="51" spans="1:9" ht="23.25" customHeight="1" thickBot="1" x14ac:dyDescent="0.25">
      <c r="A51" s="429" t="s">
        <v>165</v>
      </c>
      <c r="B51" s="430"/>
      <c r="C51" s="430"/>
      <c r="D51" s="98"/>
      <c r="E51" s="92" t="s">
        <v>166</v>
      </c>
      <c r="F51" s="442"/>
      <c r="G51" s="442"/>
      <c r="H51" s="442"/>
      <c r="I51" s="443"/>
    </row>
    <row r="52" spans="1:9" ht="12" customHeight="1" thickBot="1" x14ac:dyDescent="0.25">
      <c r="A52" s="105"/>
    </row>
    <row r="53" spans="1:9" ht="12" customHeight="1" x14ac:dyDescent="0.2">
      <c r="A53" s="103" t="s">
        <v>160</v>
      </c>
      <c r="B53" s="100" t="s">
        <v>60</v>
      </c>
      <c r="C53" s="100" t="s">
        <v>159</v>
      </c>
      <c r="D53" s="94" t="s">
        <v>96</v>
      </c>
      <c r="E53" s="94" t="s">
        <v>97</v>
      </c>
      <c r="F53" s="93" t="s">
        <v>162</v>
      </c>
      <c r="G53" s="93" t="s">
        <v>163</v>
      </c>
      <c r="H53" s="93" t="s">
        <v>164</v>
      </c>
      <c r="I53" s="95" t="s">
        <v>161</v>
      </c>
    </row>
    <row r="54" spans="1:9" ht="24.95" customHeight="1" x14ac:dyDescent="0.2">
      <c r="A54" s="104" t="e">
        <f>'3-zapasy'!A14</f>
        <v>#REF!</v>
      </c>
      <c r="B54" s="108">
        <f>'3-zapasy'!B14</f>
        <v>6</v>
      </c>
      <c r="C54" s="108" t="str">
        <f>'3-zapasy'!C14</f>
        <v>3B-4</v>
      </c>
      <c r="D54" s="109" t="str">
        <f>'3-zapasy'!D14</f>
        <v>vítěz utkání 2st-10</v>
      </c>
      <c r="E54" s="109" t="str">
        <f>'3-zapasy'!E14</f>
        <v>vítěz utkání 2st-2</v>
      </c>
      <c r="F54" s="96"/>
      <c r="G54" s="96"/>
      <c r="H54" s="96"/>
      <c r="I54" s="97"/>
    </row>
    <row r="55" spans="1:9" ht="23.25" customHeight="1" thickBot="1" x14ac:dyDescent="0.25">
      <c r="A55" s="429" t="s">
        <v>165</v>
      </c>
      <c r="B55" s="430"/>
      <c r="C55" s="430"/>
      <c r="D55" s="98"/>
      <c r="E55" s="92" t="s">
        <v>166</v>
      </c>
      <c r="F55" s="442"/>
      <c r="G55" s="442"/>
      <c r="H55" s="442"/>
      <c r="I55" s="443"/>
    </row>
    <row r="56" spans="1:9" ht="13.5" thickBot="1" x14ac:dyDescent="0.25">
      <c r="A56" s="105"/>
    </row>
    <row r="57" spans="1:9" ht="12" customHeight="1" x14ac:dyDescent="0.2">
      <c r="A57" s="103" t="s">
        <v>160</v>
      </c>
      <c r="B57" s="100" t="s">
        <v>60</v>
      </c>
      <c r="C57" s="100" t="s">
        <v>159</v>
      </c>
      <c r="D57" s="94" t="s">
        <v>96</v>
      </c>
      <c r="E57" s="94" t="s">
        <v>97</v>
      </c>
      <c r="F57" s="93" t="s">
        <v>162</v>
      </c>
      <c r="G57" s="93" t="s">
        <v>163</v>
      </c>
      <c r="H57" s="93" t="s">
        <v>164</v>
      </c>
      <c r="I57" s="95" t="s">
        <v>161</v>
      </c>
    </row>
    <row r="58" spans="1:9" ht="24.95" customHeight="1" x14ac:dyDescent="0.2">
      <c r="A58" s="104" t="e">
        <f>'3-zapasy'!A22</f>
        <v>#REF!</v>
      </c>
      <c r="B58" s="108">
        <f>'3-zapasy'!B22</f>
        <v>7</v>
      </c>
      <c r="C58" s="108" t="str">
        <f>'3-zapasy'!C22</f>
        <v>3C-4</v>
      </c>
      <c r="D58" s="109" t="str">
        <f>'3-zapasy'!D22</f>
        <v>vítěz utkání 2st-11</v>
      </c>
      <c r="E58" s="109" t="str">
        <f>'3-zapasy'!E22</f>
        <v>vítěz utkání 2st-3</v>
      </c>
      <c r="F58" s="96"/>
      <c r="G58" s="96"/>
      <c r="H58" s="96"/>
      <c r="I58" s="97"/>
    </row>
    <row r="59" spans="1:9" ht="23.25" customHeight="1" thickBot="1" x14ac:dyDescent="0.25">
      <c r="A59" s="429" t="s">
        <v>165</v>
      </c>
      <c r="B59" s="430"/>
      <c r="C59" s="430"/>
      <c r="D59" s="98"/>
      <c r="E59" s="92" t="s">
        <v>166</v>
      </c>
      <c r="F59" s="442"/>
      <c r="G59" s="442"/>
      <c r="H59" s="442"/>
      <c r="I59" s="443"/>
    </row>
    <row r="60" spans="1:9" ht="12" customHeight="1" thickBot="1" x14ac:dyDescent="0.25">
      <c r="A60" s="105"/>
    </row>
    <row r="61" spans="1:9" ht="12" customHeight="1" x14ac:dyDescent="0.2">
      <c r="A61" s="103" t="s">
        <v>160</v>
      </c>
      <c r="B61" s="100" t="s">
        <v>60</v>
      </c>
      <c r="C61" s="100" t="s">
        <v>159</v>
      </c>
      <c r="D61" s="94" t="s">
        <v>96</v>
      </c>
      <c r="E61" s="94" t="s">
        <v>97</v>
      </c>
      <c r="F61" s="93" t="s">
        <v>162</v>
      </c>
      <c r="G61" s="93" t="s">
        <v>163</v>
      </c>
      <c r="H61" s="93" t="s">
        <v>164</v>
      </c>
      <c r="I61" s="95" t="s">
        <v>161</v>
      </c>
    </row>
    <row r="62" spans="1:9" ht="24.95" customHeight="1" x14ac:dyDescent="0.2">
      <c r="A62" s="104" t="e">
        <f>'3-zapasy'!A30</f>
        <v>#REF!</v>
      </c>
      <c r="B62" s="108">
        <f>'3-zapasy'!B30</f>
        <v>8</v>
      </c>
      <c r="C62" s="108" t="str">
        <f>'3-zapasy'!C30</f>
        <v>3D-4</v>
      </c>
      <c r="D62" s="109" t="str">
        <f>'3-zapasy'!D30</f>
        <v>vítěz utkání 2st-12</v>
      </c>
      <c r="E62" s="109" t="str">
        <f>'3-zapasy'!E30</f>
        <v>vítěz utkání 2st-4</v>
      </c>
      <c r="F62" s="96"/>
      <c r="G62" s="96"/>
      <c r="H62" s="96"/>
      <c r="I62" s="97"/>
    </row>
    <row r="63" spans="1:9" ht="23.25" customHeight="1" thickBot="1" x14ac:dyDescent="0.25">
      <c r="A63" s="429" t="s">
        <v>165</v>
      </c>
      <c r="B63" s="430"/>
      <c r="C63" s="430"/>
      <c r="D63" s="98"/>
      <c r="E63" s="92" t="s">
        <v>166</v>
      </c>
      <c r="F63" s="442"/>
      <c r="G63" s="442"/>
      <c r="H63" s="442"/>
      <c r="I63" s="443"/>
    </row>
    <row r="64" spans="1:9" ht="12" customHeight="1" thickBot="1" x14ac:dyDescent="0.25">
      <c r="A64" s="105"/>
    </row>
    <row r="65" spans="1:9" ht="12" customHeight="1" x14ac:dyDescent="0.2">
      <c r="A65" s="103" t="s">
        <v>160</v>
      </c>
      <c r="B65" s="100" t="s">
        <v>60</v>
      </c>
      <c r="C65" s="100" t="s">
        <v>159</v>
      </c>
      <c r="D65" s="94" t="s">
        <v>96</v>
      </c>
      <c r="E65" s="94" t="s">
        <v>97</v>
      </c>
      <c r="F65" s="93" t="s">
        <v>162</v>
      </c>
      <c r="G65" s="93" t="s">
        <v>163</v>
      </c>
      <c r="H65" s="93" t="s">
        <v>164</v>
      </c>
      <c r="I65" s="95" t="s">
        <v>161</v>
      </c>
    </row>
    <row r="66" spans="1:9" ht="24.95" customHeight="1" x14ac:dyDescent="0.2">
      <c r="A66" s="104" t="e">
        <f>'3-zapasy'!A7</f>
        <v>#REF!</v>
      </c>
      <c r="B66" s="108">
        <f>'3-zapasy'!B7</f>
        <v>1</v>
      </c>
      <c r="C66" s="108" t="str">
        <f>'3-zapasy'!C7</f>
        <v>3A-5</v>
      </c>
      <c r="D66" s="109" t="str">
        <f>'3-zapasy'!D7</f>
        <v>vítěz utkání 2st-9</v>
      </c>
      <c r="E66" s="109" t="str">
        <f>'3-zapasy'!E7</f>
        <v>vítěz utkání 2st-16</v>
      </c>
      <c r="F66" s="96"/>
      <c r="G66" s="96"/>
      <c r="H66" s="96"/>
      <c r="I66" s="97"/>
    </row>
    <row r="67" spans="1:9" ht="23.25" customHeight="1" thickBot="1" x14ac:dyDescent="0.25">
      <c r="A67" s="429" t="s">
        <v>165</v>
      </c>
      <c r="B67" s="430"/>
      <c r="C67" s="430"/>
      <c r="D67" s="98"/>
      <c r="E67" s="92" t="s">
        <v>166</v>
      </c>
      <c r="F67" s="442"/>
      <c r="G67" s="442"/>
      <c r="H67" s="442"/>
      <c r="I67" s="443"/>
    </row>
    <row r="68" spans="1:9" s="91" customFormat="1" ht="13.5" thickBot="1" x14ac:dyDescent="0.25">
      <c r="A68" s="105"/>
      <c r="B68" s="102"/>
      <c r="C68" s="102"/>
      <c r="D68" s="89"/>
      <c r="E68" s="89"/>
      <c r="F68" s="90"/>
      <c r="G68" s="90"/>
      <c r="H68" s="90"/>
      <c r="I68" s="88"/>
    </row>
    <row r="69" spans="1:9" ht="12" customHeight="1" x14ac:dyDescent="0.2">
      <c r="A69" s="103" t="s">
        <v>160</v>
      </c>
      <c r="B69" s="100" t="s">
        <v>60</v>
      </c>
      <c r="C69" s="100" t="s">
        <v>159</v>
      </c>
      <c r="D69" s="94" t="s">
        <v>96</v>
      </c>
      <c r="E69" s="94" t="s">
        <v>97</v>
      </c>
      <c r="F69" s="93" t="s">
        <v>162</v>
      </c>
      <c r="G69" s="93" t="s">
        <v>163</v>
      </c>
      <c r="H69" s="93" t="s">
        <v>164</v>
      </c>
      <c r="I69" s="95" t="s">
        <v>161</v>
      </c>
    </row>
    <row r="70" spans="1:9" ht="24.95" customHeight="1" x14ac:dyDescent="0.2">
      <c r="A70" s="104" t="e">
        <f>'3-zapasy'!A15</f>
        <v>#REF!</v>
      </c>
      <c r="B70" s="108">
        <f>'3-zapasy'!B15</f>
        <v>2</v>
      </c>
      <c r="C70" s="108" t="str">
        <f>'3-zapasy'!C15</f>
        <v>3B-5</v>
      </c>
      <c r="D70" s="109" t="str">
        <f>'3-zapasy'!D15</f>
        <v>vítěz utkání 2st-10</v>
      </c>
      <c r="E70" s="109" t="str">
        <f>'3-zapasy'!E15</f>
        <v>vítěz utkání 2st-15</v>
      </c>
      <c r="F70" s="96"/>
      <c r="G70" s="96"/>
      <c r="H70" s="96"/>
      <c r="I70" s="97"/>
    </row>
    <row r="71" spans="1:9" ht="23.25" customHeight="1" thickBot="1" x14ac:dyDescent="0.25">
      <c r="A71" s="429" t="s">
        <v>165</v>
      </c>
      <c r="B71" s="430"/>
      <c r="C71" s="430"/>
      <c r="D71" s="98"/>
      <c r="E71" s="92" t="s">
        <v>166</v>
      </c>
      <c r="F71" s="442"/>
      <c r="G71" s="442"/>
      <c r="H71" s="442"/>
      <c r="I71" s="443"/>
    </row>
    <row r="72" spans="1:9" ht="12" customHeight="1" thickBot="1" x14ac:dyDescent="0.25">
      <c r="A72" s="105"/>
    </row>
    <row r="73" spans="1:9" ht="12" customHeight="1" x14ac:dyDescent="0.2">
      <c r="A73" s="103" t="s">
        <v>160</v>
      </c>
      <c r="B73" s="100" t="s">
        <v>60</v>
      </c>
      <c r="C73" s="100" t="s">
        <v>159</v>
      </c>
      <c r="D73" s="94" t="s">
        <v>96</v>
      </c>
      <c r="E73" s="94" t="s">
        <v>97</v>
      </c>
      <c r="F73" s="93" t="s">
        <v>162</v>
      </c>
      <c r="G73" s="93" t="s">
        <v>163</v>
      </c>
      <c r="H73" s="93" t="s">
        <v>164</v>
      </c>
      <c r="I73" s="95" t="s">
        <v>161</v>
      </c>
    </row>
    <row r="74" spans="1:9" ht="24.95" customHeight="1" x14ac:dyDescent="0.2">
      <c r="A74" s="104" t="e">
        <f>'3-zapasy'!A23</f>
        <v>#REF!</v>
      </c>
      <c r="B74" s="108">
        <f>'3-zapasy'!B23</f>
        <v>3</v>
      </c>
      <c r="C74" s="108" t="str">
        <f>'3-zapasy'!C23</f>
        <v>3C-5</v>
      </c>
      <c r="D74" s="109" t="str">
        <f>'3-zapasy'!D23</f>
        <v>vítěz utkání 2st-11</v>
      </c>
      <c r="E74" s="109" t="str">
        <f>'3-zapasy'!E23</f>
        <v>vítěz utkání 2st-14</v>
      </c>
      <c r="F74" s="96"/>
      <c r="G74" s="96"/>
      <c r="H74" s="96"/>
      <c r="I74" s="97"/>
    </row>
    <row r="75" spans="1:9" ht="23.25" customHeight="1" thickBot="1" x14ac:dyDescent="0.25">
      <c r="A75" s="429" t="s">
        <v>165</v>
      </c>
      <c r="B75" s="430"/>
      <c r="C75" s="430"/>
      <c r="D75" s="98"/>
      <c r="E75" s="92" t="s">
        <v>166</v>
      </c>
      <c r="F75" s="442"/>
      <c r="G75" s="442"/>
      <c r="H75" s="442"/>
      <c r="I75" s="443"/>
    </row>
    <row r="76" spans="1:9" ht="12" customHeight="1" thickBot="1" x14ac:dyDescent="0.25">
      <c r="A76" s="105"/>
    </row>
    <row r="77" spans="1:9" ht="12" customHeight="1" x14ac:dyDescent="0.2">
      <c r="A77" s="103" t="s">
        <v>160</v>
      </c>
      <c r="B77" s="100" t="s">
        <v>60</v>
      </c>
      <c r="C77" s="100" t="s">
        <v>159</v>
      </c>
      <c r="D77" s="94" t="s">
        <v>96</v>
      </c>
      <c r="E77" s="94" t="s">
        <v>97</v>
      </c>
      <c r="F77" s="93" t="s">
        <v>162</v>
      </c>
      <c r="G77" s="93" t="s">
        <v>163</v>
      </c>
      <c r="H77" s="93" t="s">
        <v>164</v>
      </c>
      <c r="I77" s="95" t="s">
        <v>161</v>
      </c>
    </row>
    <row r="78" spans="1:9" ht="24.95" customHeight="1" x14ac:dyDescent="0.2">
      <c r="A78" s="104" t="e">
        <f>'3-zapasy'!A31</f>
        <v>#REF!</v>
      </c>
      <c r="B78" s="108">
        <f>'3-zapasy'!B31</f>
        <v>4</v>
      </c>
      <c r="C78" s="108" t="str">
        <f>'3-zapasy'!C31</f>
        <v>3D-5</v>
      </c>
      <c r="D78" s="109" t="str">
        <f>'3-zapasy'!D31</f>
        <v>vítěz utkání 2st-12</v>
      </c>
      <c r="E78" s="109" t="str">
        <f>'3-zapasy'!E31</f>
        <v>vítěz utkání 2st-13</v>
      </c>
      <c r="F78" s="96"/>
      <c r="G78" s="96"/>
      <c r="H78" s="96"/>
      <c r="I78" s="97"/>
    </row>
    <row r="79" spans="1:9" ht="23.25" customHeight="1" thickBot="1" x14ac:dyDescent="0.25">
      <c r="A79" s="429" t="s">
        <v>165</v>
      </c>
      <c r="B79" s="430"/>
      <c r="C79" s="430"/>
      <c r="D79" s="98"/>
      <c r="E79" s="92" t="s">
        <v>166</v>
      </c>
      <c r="F79" s="442"/>
      <c r="G79" s="442"/>
      <c r="H79" s="442"/>
      <c r="I79" s="443"/>
    </row>
    <row r="80" spans="1:9" ht="12" customHeight="1" thickBot="1" x14ac:dyDescent="0.25">
      <c r="A80" s="105"/>
    </row>
    <row r="81" spans="1:9" ht="12" customHeight="1" x14ac:dyDescent="0.2">
      <c r="A81" s="103" t="s">
        <v>160</v>
      </c>
      <c r="B81" s="100" t="s">
        <v>60</v>
      </c>
      <c r="C81" s="100" t="s">
        <v>159</v>
      </c>
      <c r="D81" s="94" t="s">
        <v>96</v>
      </c>
      <c r="E81" s="94" t="s">
        <v>97</v>
      </c>
      <c r="F81" s="93" t="s">
        <v>162</v>
      </c>
      <c r="G81" s="93" t="s">
        <v>163</v>
      </c>
      <c r="H81" s="93" t="s">
        <v>164</v>
      </c>
      <c r="I81" s="95" t="s">
        <v>161</v>
      </c>
    </row>
    <row r="82" spans="1:9" ht="24.95" customHeight="1" x14ac:dyDescent="0.2">
      <c r="A82" s="104" t="e">
        <f>'3-zapasy'!A8</f>
        <v>#REF!</v>
      </c>
      <c r="B82" s="108">
        <f>'3-zapasy'!B8</f>
        <v>5</v>
      </c>
      <c r="C82" s="108" t="str">
        <f>'3-zapasy'!C8</f>
        <v>3A-6</v>
      </c>
      <c r="D82" s="109" t="str">
        <f>'3-zapasy'!D8</f>
        <v>vítěz utkání 2st-1</v>
      </c>
      <c r="E82" s="109" t="str">
        <f>'3-zapasy'!E8</f>
        <v>vítěz utkání 2st-8</v>
      </c>
      <c r="F82" s="96"/>
      <c r="G82" s="96"/>
      <c r="H82" s="96"/>
      <c r="I82" s="97"/>
    </row>
    <row r="83" spans="1:9" ht="23.25" customHeight="1" thickBot="1" x14ac:dyDescent="0.25">
      <c r="A83" s="429" t="s">
        <v>165</v>
      </c>
      <c r="B83" s="430"/>
      <c r="C83" s="430"/>
      <c r="D83" s="98"/>
      <c r="E83" s="92" t="s">
        <v>166</v>
      </c>
      <c r="F83" s="442"/>
      <c r="G83" s="442"/>
      <c r="H83" s="442"/>
      <c r="I83" s="443"/>
    </row>
    <row r="84" spans="1:9" ht="13.5" thickBot="1" x14ac:dyDescent="0.25">
      <c r="A84" s="105"/>
    </row>
    <row r="85" spans="1:9" ht="12" customHeight="1" x14ac:dyDescent="0.2">
      <c r="A85" s="103" t="s">
        <v>160</v>
      </c>
      <c r="B85" s="100" t="s">
        <v>60</v>
      </c>
      <c r="C85" s="100" t="s">
        <v>159</v>
      </c>
      <c r="D85" s="94" t="s">
        <v>96</v>
      </c>
      <c r="E85" s="94" t="s">
        <v>97</v>
      </c>
      <c r="F85" s="93" t="s">
        <v>162</v>
      </c>
      <c r="G85" s="93" t="s">
        <v>163</v>
      </c>
      <c r="H85" s="93" t="s">
        <v>164</v>
      </c>
      <c r="I85" s="95" t="s">
        <v>161</v>
      </c>
    </row>
    <row r="86" spans="1:9" ht="24.95" customHeight="1" x14ac:dyDescent="0.2">
      <c r="A86" s="104" t="e">
        <f>'3-zapasy'!A16</f>
        <v>#REF!</v>
      </c>
      <c r="B86" s="108">
        <f>'3-zapasy'!B16</f>
        <v>6</v>
      </c>
      <c r="C86" s="108" t="str">
        <f>'3-zapasy'!C16</f>
        <v>3B-6</v>
      </c>
      <c r="D86" s="109" t="str">
        <f>'3-zapasy'!D16</f>
        <v>vítěz utkání 2st-2</v>
      </c>
      <c r="E86" s="109" t="str">
        <f>'3-zapasy'!E16</f>
        <v>vítěz utkání 2st-7</v>
      </c>
      <c r="F86" s="96"/>
      <c r="G86" s="96"/>
      <c r="H86" s="96"/>
      <c r="I86" s="97"/>
    </row>
    <row r="87" spans="1:9" ht="23.25" customHeight="1" thickBot="1" x14ac:dyDescent="0.25">
      <c r="A87" s="429" t="s">
        <v>165</v>
      </c>
      <c r="B87" s="430"/>
      <c r="C87" s="430"/>
      <c r="D87" s="98"/>
      <c r="E87" s="92" t="s">
        <v>166</v>
      </c>
      <c r="F87" s="442"/>
      <c r="G87" s="442"/>
      <c r="H87" s="442"/>
      <c r="I87" s="443"/>
    </row>
    <row r="88" spans="1:9" ht="12" customHeight="1" thickBot="1" x14ac:dyDescent="0.25">
      <c r="A88" s="105"/>
    </row>
    <row r="89" spans="1:9" ht="12" customHeight="1" x14ac:dyDescent="0.2">
      <c r="A89" s="103" t="s">
        <v>160</v>
      </c>
      <c r="B89" s="100" t="s">
        <v>60</v>
      </c>
      <c r="C89" s="100" t="s">
        <v>159</v>
      </c>
      <c r="D89" s="94" t="s">
        <v>96</v>
      </c>
      <c r="E89" s="94" t="s">
        <v>97</v>
      </c>
      <c r="F89" s="93" t="s">
        <v>162</v>
      </c>
      <c r="G89" s="93" t="s">
        <v>163</v>
      </c>
      <c r="H89" s="93" t="s">
        <v>164</v>
      </c>
      <c r="I89" s="95" t="s">
        <v>161</v>
      </c>
    </row>
    <row r="90" spans="1:9" ht="24.95" customHeight="1" x14ac:dyDescent="0.2">
      <c r="A90" s="104" t="e">
        <f>'3-zapasy'!A24</f>
        <v>#REF!</v>
      </c>
      <c r="B90" s="108">
        <f>'3-zapasy'!B24</f>
        <v>7</v>
      </c>
      <c r="C90" s="108" t="str">
        <f>'3-zapasy'!C24</f>
        <v>3C-6</v>
      </c>
      <c r="D90" s="109" t="str">
        <f>'3-zapasy'!D24</f>
        <v>vítěz utkání 2st-3</v>
      </c>
      <c r="E90" s="109" t="str">
        <f>'3-zapasy'!E24</f>
        <v>vítěz utkání 2st-6</v>
      </c>
      <c r="F90" s="96"/>
      <c r="G90" s="96"/>
      <c r="H90" s="96"/>
      <c r="I90" s="97"/>
    </row>
    <row r="91" spans="1:9" ht="23.25" customHeight="1" thickBot="1" x14ac:dyDescent="0.25">
      <c r="A91" s="429" t="s">
        <v>165</v>
      </c>
      <c r="B91" s="430"/>
      <c r="C91" s="430"/>
      <c r="D91" s="98"/>
      <c r="E91" s="92" t="s">
        <v>166</v>
      </c>
      <c r="F91" s="442"/>
      <c r="G91" s="442"/>
      <c r="H91" s="442"/>
      <c r="I91" s="443"/>
    </row>
    <row r="92" spans="1:9" ht="13.5" thickBot="1" x14ac:dyDescent="0.25">
      <c r="A92" s="105"/>
    </row>
    <row r="93" spans="1:9" ht="12" customHeight="1" x14ac:dyDescent="0.2">
      <c r="A93" s="103" t="s">
        <v>160</v>
      </c>
      <c r="B93" s="100" t="s">
        <v>60</v>
      </c>
      <c r="C93" s="100" t="s">
        <v>159</v>
      </c>
      <c r="D93" s="94" t="s">
        <v>96</v>
      </c>
      <c r="E93" s="94" t="s">
        <v>97</v>
      </c>
      <c r="F93" s="93" t="s">
        <v>162</v>
      </c>
      <c r="G93" s="93" t="s">
        <v>163</v>
      </c>
      <c r="H93" s="93" t="s">
        <v>164</v>
      </c>
      <c r="I93" s="95" t="s">
        <v>161</v>
      </c>
    </row>
    <row r="94" spans="1:9" ht="24.95" customHeight="1" x14ac:dyDescent="0.2">
      <c r="A94" s="104" t="e">
        <f>'3-zapasy'!A32</f>
        <v>#REF!</v>
      </c>
      <c r="B94" s="108">
        <f>'3-zapasy'!B32</f>
        <v>8</v>
      </c>
      <c r="C94" s="108" t="str">
        <f>'3-zapasy'!C32</f>
        <v>3D-6</v>
      </c>
      <c r="D94" s="109" t="str">
        <f>'3-zapasy'!D32</f>
        <v>vítěz utkání 2st-4</v>
      </c>
      <c r="E94" s="109" t="str">
        <f>'3-zapasy'!E32</f>
        <v>vítěz utkání 2st-5</v>
      </c>
      <c r="F94" s="96"/>
      <c r="G94" s="96"/>
      <c r="H94" s="96"/>
      <c r="I94" s="97"/>
    </row>
    <row r="95" spans="1:9" ht="23.25" customHeight="1" thickBot="1" x14ac:dyDescent="0.25">
      <c r="A95" s="429" t="s">
        <v>165</v>
      </c>
      <c r="B95" s="430"/>
      <c r="C95" s="430"/>
      <c r="D95" s="98"/>
      <c r="E95" s="92" t="s">
        <v>166</v>
      </c>
      <c r="F95" s="442"/>
      <c r="G95" s="442"/>
      <c r="H95" s="442"/>
      <c r="I95" s="443"/>
    </row>
  </sheetData>
  <mergeCells count="48">
    <mergeCell ref="A3:C3"/>
    <mergeCell ref="F3:I3"/>
    <mergeCell ref="A7:C7"/>
    <mergeCell ref="F7:I7"/>
    <mergeCell ref="A11:C11"/>
    <mergeCell ref="F11:I11"/>
    <mergeCell ref="A15:C15"/>
    <mergeCell ref="F15:I15"/>
    <mergeCell ref="A19:C19"/>
    <mergeCell ref="F19:I19"/>
    <mergeCell ref="A23:C23"/>
    <mergeCell ref="F23:I23"/>
    <mergeCell ref="A27:C27"/>
    <mergeCell ref="F27:I27"/>
    <mergeCell ref="A31:C31"/>
    <mergeCell ref="F31:I31"/>
    <mergeCell ref="A35:C35"/>
    <mergeCell ref="F35:I35"/>
    <mergeCell ref="A39:C39"/>
    <mergeCell ref="F39:I39"/>
    <mergeCell ref="A43:C43"/>
    <mergeCell ref="F43:I43"/>
    <mergeCell ref="A47:C47"/>
    <mergeCell ref="F47:I47"/>
    <mergeCell ref="A51:C51"/>
    <mergeCell ref="F51:I51"/>
    <mergeCell ref="A55:C55"/>
    <mergeCell ref="F55:I55"/>
    <mergeCell ref="A59:C59"/>
    <mergeCell ref="F59:I59"/>
    <mergeCell ref="A63:C63"/>
    <mergeCell ref="F63:I63"/>
    <mergeCell ref="A67:C67"/>
    <mergeCell ref="F67:I67"/>
    <mergeCell ref="A71:C71"/>
    <mergeCell ref="F71:I71"/>
    <mergeCell ref="A75:C75"/>
    <mergeCell ref="F75:I75"/>
    <mergeCell ref="A79:C79"/>
    <mergeCell ref="F79:I79"/>
    <mergeCell ref="A83:C83"/>
    <mergeCell ref="F83:I83"/>
    <mergeCell ref="A87:C87"/>
    <mergeCell ref="F87:I87"/>
    <mergeCell ref="A91:C91"/>
    <mergeCell ref="F91:I91"/>
    <mergeCell ref="A95:C95"/>
    <mergeCell ref="F95:I95"/>
  </mergeCells>
  <printOptions horizontalCentered="1" verticalCentered="1"/>
  <pageMargins left="0.19685039370078741" right="0.19685039370078741" top="0.59055118110236227" bottom="0.19685039370078741" header="0.19685039370078741" footer="0.51181102362204722"/>
  <pageSetup paperSize="9" orientation="portrait" horizontalDpi="360" verticalDpi="360" r:id="rId1"/>
  <headerFooter alignWithMargins="0">
    <oddHeader>&amp;C3. stupeň</oddHeader>
  </headerFooter>
  <rowBreaks count="2" manualBreakCount="2">
    <brk id="40" max="16383" man="1"/>
    <brk id="80"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6"/>
  <dimension ref="A1:R43"/>
  <sheetViews>
    <sheetView showGridLines="0" view="pageBreakPreview" zoomScaleNormal="100" workbookViewId="0">
      <selection activeCell="C36" sqref="C36"/>
    </sheetView>
  </sheetViews>
  <sheetFormatPr defaultRowHeight="12.75" x14ac:dyDescent="0.2"/>
  <cols>
    <col min="1" max="1" width="8.5703125" style="20" bestFit="1" customWidth="1"/>
    <col min="2" max="2" width="7.140625" style="20" bestFit="1" customWidth="1"/>
    <col min="3" max="3" width="3.85546875" style="20" bestFit="1" customWidth="1"/>
    <col min="4" max="4" width="25" style="2" bestFit="1" customWidth="1"/>
    <col min="5" max="5" width="25.7109375" style="2" bestFit="1" customWidth="1"/>
    <col min="6" max="8" width="5" style="2" bestFit="1" customWidth="1"/>
    <col min="9" max="10" width="4.28515625" style="2" customWidth="1"/>
    <col min="11" max="11" width="19.140625" style="2" bestFit="1" customWidth="1"/>
    <col min="12" max="13" width="2.5703125" style="2" bestFit="1" customWidth="1"/>
    <col min="14" max="14" width="4.85546875" style="2" bestFit="1" customWidth="1"/>
    <col min="15" max="15" width="4.42578125" style="2" bestFit="1" customWidth="1"/>
    <col min="16" max="16" width="4.140625" style="2" customWidth="1"/>
    <col min="17" max="17" width="15.140625" style="2" bestFit="1" customWidth="1"/>
    <col min="18" max="16384" width="9.140625" style="2"/>
  </cols>
  <sheetData>
    <row r="1" spans="1:10" ht="23.25" customHeight="1" x14ac:dyDescent="0.2">
      <c r="A1" s="41" t="s">
        <v>101</v>
      </c>
      <c r="B1" s="41"/>
      <c r="C1" s="41"/>
      <c r="D1" s="41"/>
      <c r="E1" s="41"/>
      <c r="F1" s="41"/>
      <c r="G1" s="41"/>
      <c r="H1" s="41"/>
      <c r="I1" s="41"/>
      <c r="J1" s="41"/>
    </row>
    <row r="2" spans="1:10" s="12" customFormat="1" ht="11.25" x14ac:dyDescent="0.2">
      <c r="A2" s="444" t="s">
        <v>110</v>
      </c>
      <c r="B2" s="52" t="s">
        <v>43</v>
      </c>
      <c r="C2" s="53" t="s">
        <v>102</v>
      </c>
      <c r="D2" s="54" t="str">
        <f>IF(('3-zapasy'!L3+'3-zapasy'!M3)=3,'3-zapasy'!K3,"vítěz skupiny 3A")</f>
        <v>vítěz skupiny 3A</v>
      </c>
      <c r="E2" s="29"/>
      <c r="F2" s="114" t="s">
        <v>112</v>
      </c>
      <c r="G2" s="115"/>
      <c r="H2" s="115"/>
      <c r="I2" s="115"/>
      <c r="J2" s="116"/>
    </row>
    <row r="3" spans="1:10" s="12" customFormat="1" ht="11.25" x14ac:dyDescent="0.2">
      <c r="A3" s="445"/>
      <c r="B3" s="55" t="s">
        <v>44</v>
      </c>
      <c r="C3" s="56" t="s">
        <v>106</v>
      </c>
      <c r="D3" s="57" t="str">
        <f>IF(('3-zapasy'!L20+'3-zapasy'!M20)=3,'3-zapasy'!K20,"druhý ze skupiny 3C")</f>
        <v>druhý ze skupiny 3C</v>
      </c>
      <c r="E3" s="30"/>
      <c r="F3" s="117" t="e">
        <f>'3-zapasy'!A32+'3-los'!F31+1/6/24</f>
        <v>#REF!</v>
      </c>
      <c r="G3" s="118"/>
      <c r="H3" s="118"/>
      <c r="I3" s="118"/>
      <c r="J3" s="119"/>
    </row>
    <row r="4" spans="1:10" s="12" customFormat="1" ht="11.25" x14ac:dyDescent="0.2">
      <c r="A4" s="445"/>
      <c r="B4" s="55" t="s">
        <v>45</v>
      </c>
      <c r="C4" s="56" t="s">
        <v>107</v>
      </c>
      <c r="D4" s="57" t="str">
        <f>IF(('3-zapasy'!L12+'3-zapasy'!M12)=3,'3-zapasy'!K12,"druhý ze skupiny 3B")</f>
        <v>druhý ze skupiny 3B</v>
      </c>
      <c r="E4" s="30"/>
      <c r="F4" s="120" t="s">
        <v>93</v>
      </c>
      <c r="G4" s="121"/>
      <c r="H4" s="121"/>
      <c r="I4" s="121"/>
      <c r="J4" s="122"/>
    </row>
    <row r="5" spans="1:10" s="12" customFormat="1" ht="11.25" x14ac:dyDescent="0.2">
      <c r="A5" s="445"/>
      <c r="B5" s="55" t="s">
        <v>46</v>
      </c>
      <c r="C5" s="56" t="s">
        <v>105</v>
      </c>
      <c r="D5" s="57" t="str">
        <f>IF(('3-zapasy'!L27+'3-zapasy'!M27)=3,'3-zapasy'!K27,"vítěz skupiny 3D")</f>
        <v>vítěz skupiny 3D</v>
      </c>
      <c r="E5" s="30"/>
      <c r="F5" s="123">
        <f>'3-los'!F28</f>
        <v>0</v>
      </c>
      <c r="G5" s="118"/>
      <c r="H5" s="118"/>
      <c r="I5" s="118"/>
      <c r="J5" s="119"/>
    </row>
    <row r="6" spans="1:10" s="12" customFormat="1" ht="11.25" x14ac:dyDescent="0.2">
      <c r="A6" s="445"/>
      <c r="B6" s="55" t="s">
        <v>47</v>
      </c>
      <c r="C6" s="56" t="s">
        <v>104</v>
      </c>
      <c r="D6" s="57" t="str">
        <f>IF(('3-zapasy'!L19+'3-zapasy'!M19)=3,'3-zapasy'!K19,"vítěz skupiny 3C")</f>
        <v>vítěz skupiny 3C</v>
      </c>
      <c r="E6" s="30"/>
      <c r="F6" s="120" t="s">
        <v>113</v>
      </c>
      <c r="G6" s="121"/>
      <c r="H6" s="121"/>
      <c r="I6" s="121"/>
      <c r="J6" s="122"/>
    </row>
    <row r="7" spans="1:10" s="12" customFormat="1" ht="11.25" x14ac:dyDescent="0.2">
      <c r="A7" s="445"/>
      <c r="B7" s="55" t="s">
        <v>48</v>
      </c>
      <c r="C7" s="56" t="s">
        <v>108</v>
      </c>
      <c r="D7" s="57" t="str">
        <f>IF(('3-zapasy'!L4+'3-zapasy'!M4)=3,'3-zapasy'!K4,"druhý ze skupiny 3A")</f>
        <v>druhý ze skupiny 3A</v>
      </c>
      <c r="E7" s="30"/>
      <c r="F7" s="124" t="e">
        <f>B43+'3-los'!F31</f>
        <v>#REF!</v>
      </c>
      <c r="G7" s="125"/>
      <c r="H7" s="125"/>
      <c r="I7" s="125"/>
      <c r="J7" s="126"/>
    </row>
    <row r="8" spans="1:10" s="12" customFormat="1" ht="11.25" x14ac:dyDescent="0.2">
      <c r="A8" s="445"/>
      <c r="B8" s="55" t="s">
        <v>49</v>
      </c>
      <c r="C8" s="56" t="s">
        <v>109</v>
      </c>
      <c r="D8" s="57" t="str">
        <f>IF(('3-zapasy'!L28+'3-zapasy'!M28)=3,'3-zapasy'!K28,"druhý ze skupiny 3D")</f>
        <v>druhý ze skupiny 3D</v>
      </c>
      <c r="E8" s="30"/>
      <c r="F8" s="121"/>
      <c r="G8" s="121"/>
      <c r="H8" s="121"/>
      <c r="I8" s="121"/>
      <c r="J8" s="121"/>
    </row>
    <row r="9" spans="1:10" s="12" customFormat="1" ht="11.25" x14ac:dyDescent="0.2">
      <c r="A9" s="446"/>
      <c r="B9" s="58" t="s">
        <v>50</v>
      </c>
      <c r="C9" s="59" t="s">
        <v>103</v>
      </c>
      <c r="D9" s="60" t="str">
        <f>IF(('3-zapasy'!L11+'3-zapasy'!M11)=3,'3-zapasy'!K11,"vítěz skupiny 3B")</f>
        <v>vítěz skupiny 3B</v>
      </c>
      <c r="E9" s="29"/>
      <c r="F9" s="143"/>
      <c r="G9" s="118"/>
      <c r="H9" s="118"/>
      <c r="I9" s="118"/>
      <c r="J9" s="118"/>
    </row>
    <row r="10" spans="1:10" s="12" customFormat="1" ht="11.25" x14ac:dyDescent="0.2">
      <c r="A10" s="444" t="s">
        <v>111</v>
      </c>
      <c r="B10" s="52" t="s">
        <v>43</v>
      </c>
      <c r="C10" s="53" t="s">
        <v>115</v>
      </c>
      <c r="D10" s="61" t="str">
        <f>IF(('3-zapasy'!L5+'3-zapasy'!M5)=3,'3-zapasy'!K5,"třetí ze skupiny 3A")</f>
        <v>třetí ze skupiny 3A</v>
      </c>
      <c r="E10" s="51"/>
      <c r="F10" s="29"/>
      <c r="G10" s="29"/>
      <c r="H10" s="29"/>
      <c r="I10" s="29"/>
      <c r="J10" s="29"/>
    </row>
    <row r="11" spans="1:10" s="12" customFormat="1" ht="11.25" x14ac:dyDescent="0.2">
      <c r="A11" s="445"/>
      <c r="B11" s="55" t="s">
        <v>44</v>
      </c>
      <c r="C11" s="56" t="s">
        <v>116</v>
      </c>
      <c r="D11" s="62" t="str">
        <f>IF(('3-zapasy'!L22+'3-zapasy'!M22)=3,'3-zapasy'!K22,"čtvrtý ze skupiny 3C")</f>
        <v>čtvrtý ze skupiny 3C</v>
      </c>
      <c r="E11" s="51"/>
      <c r="F11" s="30"/>
      <c r="G11" s="30"/>
      <c r="H11" s="30"/>
      <c r="I11" s="30"/>
      <c r="J11" s="30"/>
    </row>
    <row r="12" spans="1:10" s="12" customFormat="1" ht="11.25" x14ac:dyDescent="0.2">
      <c r="A12" s="445"/>
      <c r="B12" s="55" t="s">
        <v>45</v>
      </c>
      <c r="C12" s="56" t="s">
        <v>117</v>
      </c>
      <c r="D12" s="62" t="str">
        <f>IF(('3-zapasy'!L14+'3-zapasy'!M14)=3,'3-zapasy'!K14,"čtvrtý ze skupiny 3B")</f>
        <v>čtvrtý ze skupiny 3B</v>
      </c>
      <c r="E12" s="51"/>
      <c r="F12" s="30"/>
      <c r="G12" s="30"/>
      <c r="H12" s="30"/>
      <c r="I12" s="30"/>
      <c r="J12" s="30"/>
    </row>
    <row r="13" spans="1:10" s="12" customFormat="1" ht="11.25" x14ac:dyDescent="0.2">
      <c r="A13" s="445"/>
      <c r="B13" s="55" t="s">
        <v>46</v>
      </c>
      <c r="C13" s="56" t="s">
        <v>118</v>
      </c>
      <c r="D13" s="62" t="str">
        <f>IF(('3-zapasy'!L29+'3-zapasy'!M29)=3,'3-zapasy'!K29,"třetí ze skupiny 3D")</f>
        <v>třetí ze skupiny 3D</v>
      </c>
      <c r="E13" s="51"/>
      <c r="F13" s="30"/>
      <c r="G13" s="30"/>
      <c r="H13" s="30"/>
      <c r="I13" s="30"/>
      <c r="J13" s="30"/>
    </row>
    <row r="14" spans="1:10" s="12" customFormat="1" ht="11.25" x14ac:dyDescent="0.2">
      <c r="A14" s="445"/>
      <c r="B14" s="55" t="s">
        <v>47</v>
      </c>
      <c r="C14" s="56" t="s">
        <v>119</v>
      </c>
      <c r="D14" s="62" t="str">
        <f>IF(('3-zapasy'!L21+'3-zapasy'!M21)=3,'3-zapasy'!K21,"třetí ze skupiny 3C")</f>
        <v>třetí ze skupiny 3C</v>
      </c>
      <c r="E14" s="51"/>
      <c r="F14" s="30"/>
      <c r="G14" s="30"/>
      <c r="H14" s="30"/>
      <c r="I14" s="30"/>
      <c r="J14" s="30"/>
    </row>
    <row r="15" spans="1:10" s="12" customFormat="1" ht="11.25" x14ac:dyDescent="0.2">
      <c r="A15" s="445"/>
      <c r="B15" s="55" t="s">
        <v>48</v>
      </c>
      <c r="C15" s="56" t="s">
        <v>120</v>
      </c>
      <c r="D15" s="62" t="str">
        <f>IF(('3-zapasy'!L6+'3-zapasy'!M6)=3,'3-zapasy'!K6,"čtvrtý ze skupiny 3A")</f>
        <v>čtvrtý ze skupiny 3A</v>
      </c>
      <c r="E15" s="51"/>
      <c r="F15" s="30"/>
      <c r="G15" s="30"/>
      <c r="H15" s="30"/>
      <c r="I15" s="30"/>
      <c r="J15" s="30"/>
    </row>
    <row r="16" spans="1:10" s="12" customFormat="1" ht="11.25" x14ac:dyDescent="0.2">
      <c r="A16" s="445"/>
      <c r="B16" s="55" t="s">
        <v>49</v>
      </c>
      <c r="C16" s="56" t="s">
        <v>121</v>
      </c>
      <c r="D16" s="62" t="str">
        <f>IF(('3-zapasy'!L30+'3-zapasy'!M30)=3,'3-zapasy'!K30,"čtvrtý ze skupiny 3D")</f>
        <v>čtvrtý ze skupiny 3D</v>
      </c>
      <c r="E16" s="51"/>
      <c r="F16" s="30"/>
      <c r="G16" s="30"/>
      <c r="H16" s="30"/>
      <c r="I16" s="30"/>
      <c r="J16" s="30"/>
    </row>
    <row r="17" spans="1:18" s="12" customFormat="1" ht="11.25" x14ac:dyDescent="0.2">
      <c r="A17" s="446"/>
      <c r="B17" s="58" t="s">
        <v>50</v>
      </c>
      <c r="C17" s="59" t="s">
        <v>122</v>
      </c>
      <c r="D17" s="63" t="str">
        <f>IF(('3-zapasy'!L13+'3-zapasy'!M13)=3,'3-zapasy'!K13,"třetí ze skupiny 3B")</f>
        <v>třetí ze skupiny 3B</v>
      </c>
      <c r="E17" s="51"/>
      <c r="F17" s="29"/>
      <c r="G17" s="29"/>
      <c r="H17" s="29"/>
      <c r="I17" s="29"/>
      <c r="J17" s="29"/>
    </row>
    <row r="18" spans="1:18" s="13" customFormat="1" ht="27" customHeight="1" x14ac:dyDescent="0.2">
      <c r="A18" s="40" t="s">
        <v>114</v>
      </c>
      <c r="B18" s="40"/>
      <c r="C18" s="40"/>
      <c r="D18" s="40"/>
      <c r="E18" s="40"/>
      <c r="F18" s="40"/>
      <c r="G18" s="40"/>
      <c r="H18" s="40"/>
      <c r="I18" s="40"/>
      <c r="J18" s="40"/>
    </row>
    <row r="19" spans="1:18" x14ac:dyDescent="0.2">
      <c r="A19" s="21" t="s">
        <v>95</v>
      </c>
      <c r="B19" s="44" t="s">
        <v>59</v>
      </c>
      <c r="C19" s="44" t="s">
        <v>94</v>
      </c>
      <c r="D19" s="15" t="s">
        <v>96</v>
      </c>
      <c r="E19" s="15" t="s">
        <v>97</v>
      </c>
      <c r="F19" s="64" t="s">
        <v>16</v>
      </c>
      <c r="G19" s="64" t="s">
        <v>17</v>
      </c>
      <c r="H19" s="64" t="s">
        <v>18</v>
      </c>
      <c r="I19" s="42" t="s">
        <v>99</v>
      </c>
      <c r="J19" s="42"/>
      <c r="K19" s="2" t="s">
        <v>19</v>
      </c>
    </row>
    <row r="20" spans="1:18" ht="16.5" customHeight="1" x14ac:dyDescent="0.2">
      <c r="A20" s="14" t="s">
        <v>20</v>
      </c>
      <c r="B20" s="43" t="e">
        <f>F3</f>
        <v>#REF!</v>
      </c>
      <c r="C20" s="78">
        <v>1</v>
      </c>
      <c r="D20" s="23" t="str">
        <f>D10</f>
        <v>třetí ze skupiny 3A</v>
      </c>
      <c r="E20" s="23" t="str">
        <f>D11</f>
        <v>čtvrtý ze skupiny 3C</v>
      </c>
      <c r="F20" s="25"/>
      <c r="G20" s="25"/>
      <c r="H20" s="25"/>
      <c r="I20" s="16" t="str">
        <f t="shared" ref="I20:I27" si="0">IF(F20="","",((IF(F20&gt;0,1,0)+IF(G20&gt;0,1,0)+IF(H20&gt;0,1,0))))</f>
        <v/>
      </c>
      <c r="J20" s="16" t="str">
        <f t="shared" ref="J20:J27" si="1">IF(F20="","",IF(F20&gt;0,0,1)+IF(G20="",0,IF(G20&gt;0,0,1))+IF(H20="",0,IF(H20&gt;0,0,1)))</f>
        <v/>
      </c>
      <c r="K20" s="2" t="str">
        <f>IF(I20="","vítěz utkání 9/16-1",IF(I20=2,D20,E20))</f>
        <v>vítěz utkání 9/16-1</v>
      </c>
      <c r="L20" s="2" t="str">
        <f t="shared" ref="L20:L27" si="2">IF(I20="","",IF(I20=2,2,J20))</f>
        <v/>
      </c>
      <c r="M20" s="2" t="str">
        <f t="shared" ref="M20:M27" si="3">IF(I20=2,J20,I20)</f>
        <v/>
      </c>
      <c r="N20" s="2">
        <f t="shared" ref="N20:N27" si="4">IF(L20=I20,F20,-F20)</f>
        <v>0</v>
      </c>
      <c r="O20" s="2">
        <f t="shared" ref="O20:O27" si="5">IF(L20=I20,G20,-G20)</f>
        <v>0</v>
      </c>
      <c r="P20" s="2" t="str">
        <f t="shared" ref="P20:P27" si="6">IF(H20="","",IF(L20=I20,H20,-H20))</f>
        <v/>
      </c>
      <c r="Q20" s="2" t="str">
        <f t="shared" ref="Q20:Q43" si="7">CONCATENATE(" stůl č. ",C20)</f>
        <v xml:space="preserve"> stůl č. 1</v>
      </c>
      <c r="R20" s="2" t="str">
        <f t="shared" ref="R20:R43" si="8">IF(I20="",Q20,CONCATENATE(L20,":",M20,"(",N20," ",O20," ",P20,")"))</f>
        <v xml:space="preserve"> stůl č. 1</v>
      </c>
    </row>
    <row r="21" spans="1:18" ht="16.5" customHeight="1" x14ac:dyDescent="0.2">
      <c r="A21" s="14" t="s">
        <v>21</v>
      </c>
      <c r="B21" s="79" t="e">
        <f>IF(C20='3-los'!$F$28,B20+'3-los'!$F$31,B20)</f>
        <v>#REF!</v>
      </c>
      <c r="C21" s="78">
        <f>IF(C20='3-los'!$F$28,1,C20+1)</f>
        <v>2</v>
      </c>
      <c r="D21" s="23" t="str">
        <f>D12</f>
        <v>čtvrtý ze skupiny 3B</v>
      </c>
      <c r="E21" s="23" t="str">
        <f>D13</f>
        <v>třetí ze skupiny 3D</v>
      </c>
      <c r="F21" s="25"/>
      <c r="G21" s="25"/>
      <c r="H21" s="25"/>
      <c r="I21" s="16" t="str">
        <f t="shared" si="0"/>
        <v/>
      </c>
      <c r="J21" s="16" t="str">
        <f t="shared" si="1"/>
        <v/>
      </c>
      <c r="K21" s="2" t="str">
        <f>IF(I21="","vítěz utkání 9/16-2",IF(I21=2,D21,E21))</f>
        <v>vítěz utkání 9/16-2</v>
      </c>
      <c r="L21" s="2" t="str">
        <f t="shared" si="2"/>
        <v/>
      </c>
      <c r="M21" s="2" t="str">
        <f t="shared" si="3"/>
        <v/>
      </c>
      <c r="N21" s="2">
        <f t="shared" si="4"/>
        <v>0</v>
      </c>
      <c r="O21" s="2">
        <f t="shared" si="5"/>
        <v>0</v>
      </c>
      <c r="P21" s="2" t="str">
        <f t="shared" si="6"/>
        <v/>
      </c>
      <c r="Q21" s="2" t="str">
        <f t="shared" si="7"/>
        <v xml:space="preserve"> stůl č. 2</v>
      </c>
      <c r="R21" s="2" t="str">
        <f t="shared" si="8"/>
        <v xml:space="preserve"> stůl č. 2</v>
      </c>
    </row>
    <row r="22" spans="1:18" ht="16.5" customHeight="1" x14ac:dyDescent="0.2">
      <c r="A22" s="14" t="s">
        <v>22</v>
      </c>
      <c r="B22" s="79" t="e">
        <f>IF(C21='3-los'!$F$28,B21+'3-los'!$F$31,B21)</f>
        <v>#REF!</v>
      </c>
      <c r="C22" s="78">
        <f>IF(C21='3-los'!$F$28,1,C21+1)</f>
        <v>3</v>
      </c>
      <c r="D22" s="23" t="str">
        <f>D14</f>
        <v>třetí ze skupiny 3C</v>
      </c>
      <c r="E22" s="23" t="str">
        <f>D15</f>
        <v>čtvrtý ze skupiny 3A</v>
      </c>
      <c r="F22" s="25"/>
      <c r="G22" s="25"/>
      <c r="H22" s="25"/>
      <c r="I22" s="16" t="str">
        <f t="shared" si="0"/>
        <v/>
      </c>
      <c r="J22" s="16" t="str">
        <f t="shared" si="1"/>
        <v/>
      </c>
      <c r="K22" s="2" t="str">
        <f>IF(I22="","vítěz utkání 9/16-3",IF(I22=2,D22,E22))</f>
        <v>vítěz utkání 9/16-3</v>
      </c>
      <c r="L22" s="2" t="str">
        <f t="shared" si="2"/>
        <v/>
      </c>
      <c r="M22" s="2" t="str">
        <f t="shared" si="3"/>
        <v/>
      </c>
      <c r="N22" s="2">
        <f t="shared" si="4"/>
        <v>0</v>
      </c>
      <c r="O22" s="2">
        <f t="shared" si="5"/>
        <v>0</v>
      </c>
      <c r="P22" s="2" t="str">
        <f t="shared" si="6"/>
        <v/>
      </c>
      <c r="Q22" s="2" t="str">
        <f t="shared" si="7"/>
        <v xml:space="preserve"> stůl č. 3</v>
      </c>
      <c r="R22" s="2" t="str">
        <f t="shared" si="8"/>
        <v xml:space="preserve"> stůl č. 3</v>
      </c>
    </row>
    <row r="23" spans="1:18" ht="16.5" customHeight="1" x14ac:dyDescent="0.2">
      <c r="A23" s="14" t="s">
        <v>23</v>
      </c>
      <c r="B23" s="79" t="e">
        <f>IF(C22='3-los'!$F$28,B22+'3-los'!$F$31,B22)</f>
        <v>#REF!</v>
      </c>
      <c r="C23" s="78">
        <f>IF(C22='3-los'!$F$28,1,C22+1)</f>
        <v>4</v>
      </c>
      <c r="D23" s="23" t="str">
        <f>D16</f>
        <v>čtvrtý ze skupiny 3D</v>
      </c>
      <c r="E23" s="23" t="str">
        <f>D17</f>
        <v>třetí ze skupiny 3B</v>
      </c>
      <c r="F23" s="25"/>
      <c r="G23" s="25"/>
      <c r="H23" s="25"/>
      <c r="I23" s="16" t="str">
        <f t="shared" si="0"/>
        <v/>
      </c>
      <c r="J23" s="16" t="str">
        <f t="shared" si="1"/>
        <v/>
      </c>
      <c r="K23" s="2" t="str">
        <f>IF(I23="","vítěz utkání 9/16-4",IF(I23=2,D23,E23))</f>
        <v>vítěz utkání 9/16-4</v>
      </c>
      <c r="L23" s="2" t="str">
        <f t="shared" si="2"/>
        <v/>
      </c>
      <c r="M23" s="2" t="str">
        <f t="shared" si="3"/>
        <v/>
      </c>
      <c r="N23" s="2">
        <f t="shared" si="4"/>
        <v>0</v>
      </c>
      <c r="O23" s="2">
        <f t="shared" si="5"/>
        <v>0</v>
      </c>
      <c r="P23" s="2" t="str">
        <f t="shared" si="6"/>
        <v/>
      </c>
      <c r="Q23" s="2" t="str">
        <f t="shared" si="7"/>
        <v xml:space="preserve"> stůl č. 4</v>
      </c>
      <c r="R23" s="2" t="str">
        <f t="shared" si="8"/>
        <v xml:space="preserve"> stůl č. 4</v>
      </c>
    </row>
    <row r="24" spans="1:18" ht="16.5" customHeight="1" x14ac:dyDescent="0.2">
      <c r="A24" s="14" t="s">
        <v>26</v>
      </c>
      <c r="B24" s="79" t="e">
        <f>IF(C23='3-los'!$F$28,B23+'3-los'!$F$31,B23)</f>
        <v>#REF!</v>
      </c>
      <c r="C24" s="78">
        <f>IF(C23='3-los'!$F$28,1,C23+1)</f>
        <v>5</v>
      </c>
      <c r="D24" s="23" t="str">
        <f>D2</f>
        <v>vítěz skupiny 3A</v>
      </c>
      <c r="E24" s="23" t="str">
        <f>D3</f>
        <v>druhý ze skupiny 3C</v>
      </c>
      <c r="F24" s="25"/>
      <c r="G24" s="25"/>
      <c r="H24" s="25"/>
      <c r="I24" s="16" t="str">
        <f t="shared" si="0"/>
        <v/>
      </c>
      <c r="J24" s="16" t="str">
        <f t="shared" si="1"/>
        <v/>
      </c>
      <c r="K24" s="2" t="str">
        <f>IF(I24="","vítěz utkání 1/8-1",IF(I24=2,D24,E24))</f>
        <v>vítěz utkání 1/8-1</v>
      </c>
      <c r="L24" s="2" t="str">
        <f t="shared" si="2"/>
        <v/>
      </c>
      <c r="M24" s="2" t="str">
        <f t="shared" si="3"/>
        <v/>
      </c>
      <c r="N24" s="2">
        <f t="shared" si="4"/>
        <v>0</v>
      </c>
      <c r="O24" s="2">
        <f t="shared" si="5"/>
        <v>0</v>
      </c>
      <c r="P24" s="2" t="str">
        <f t="shared" si="6"/>
        <v/>
      </c>
      <c r="Q24" s="2" t="str">
        <f t="shared" si="7"/>
        <v xml:space="preserve"> stůl č. 5</v>
      </c>
      <c r="R24" s="2" t="str">
        <f t="shared" si="8"/>
        <v xml:space="preserve"> stůl č. 5</v>
      </c>
    </row>
    <row r="25" spans="1:18" ht="16.5" customHeight="1" x14ac:dyDescent="0.2">
      <c r="A25" s="14" t="s">
        <v>27</v>
      </c>
      <c r="B25" s="79" t="e">
        <f>IF(C24='3-los'!$F$28,B24+'3-los'!$F$31,B24)</f>
        <v>#REF!</v>
      </c>
      <c r="C25" s="78">
        <f>IF(C24='3-los'!$F$28,1,C24+1)</f>
        <v>6</v>
      </c>
      <c r="D25" s="23" t="str">
        <f>D4</f>
        <v>druhý ze skupiny 3B</v>
      </c>
      <c r="E25" s="23" t="str">
        <f>D5</f>
        <v>vítěz skupiny 3D</v>
      </c>
      <c r="F25" s="25"/>
      <c r="G25" s="25"/>
      <c r="H25" s="25"/>
      <c r="I25" s="16" t="str">
        <f t="shared" si="0"/>
        <v/>
      </c>
      <c r="J25" s="16" t="str">
        <f t="shared" si="1"/>
        <v/>
      </c>
      <c r="K25" s="2" t="str">
        <f>IF(I25="","vítěz utkání 1/8-2",IF(I25=2,D25,E25))</f>
        <v>vítěz utkání 1/8-2</v>
      </c>
      <c r="L25" s="2" t="str">
        <f t="shared" si="2"/>
        <v/>
      </c>
      <c r="M25" s="2" t="str">
        <f t="shared" si="3"/>
        <v/>
      </c>
      <c r="N25" s="2">
        <f t="shared" si="4"/>
        <v>0</v>
      </c>
      <c r="O25" s="2">
        <f t="shared" si="5"/>
        <v>0</v>
      </c>
      <c r="P25" s="2" t="str">
        <f t="shared" si="6"/>
        <v/>
      </c>
      <c r="Q25" s="2" t="str">
        <f t="shared" si="7"/>
        <v xml:space="preserve"> stůl č. 6</v>
      </c>
      <c r="R25" s="2" t="str">
        <f t="shared" si="8"/>
        <v xml:space="preserve"> stůl č. 6</v>
      </c>
    </row>
    <row r="26" spans="1:18" ht="16.5" customHeight="1" x14ac:dyDescent="0.2">
      <c r="A26" s="14" t="s">
        <v>28</v>
      </c>
      <c r="B26" s="79" t="e">
        <f>IF(C25='3-los'!$F$28,B25+'3-los'!$F$31,B25)</f>
        <v>#REF!</v>
      </c>
      <c r="C26" s="78">
        <f>IF(C25='3-los'!$F$28,1,C25+1)</f>
        <v>7</v>
      </c>
      <c r="D26" s="23" t="str">
        <f>D6</f>
        <v>vítěz skupiny 3C</v>
      </c>
      <c r="E26" s="23" t="str">
        <f>D7</f>
        <v>druhý ze skupiny 3A</v>
      </c>
      <c r="F26" s="25"/>
      <c r="G26" s="25"/>
      <c r="H26" s="25"/>
      <c r="I26" s="16" t="str">
        <f t="shared" si="0"/>
        <v/>
      </c>
      <c r="J26" s="16" t="str">
        <f t="shared" si="1"/>
        <v/>
      </c>
      <c r="K26" s="2" t="str">
        <f>IF(I26="","vítěz utkání 1/8-3",IF(I26=2,D26,E26))</f>
        <v>vítěz utkání 1/8-3</v>
      </c>
      <c r="L26" s="2" t="str">
        <f t="shared" si="2"/>
        <v/>
      </c>
      <c r="M26" s="2" t="str">
        <f t="shared" si="3"/>
        <v/>
      </c>
      <c r="N26" s="2">
        <f t="shared" si="4"/>
        <v>0</v>
      </c>
      <c r="O26" s="2">
        <f t="shared" si="5"/>
        <v>0</v>
      </c>
      <c r="P26" s="2" t="str">
        <f t="shared" si="6"/>
        <v/>
      </c>
      <c r="Q26" s="2" t="str">
        <f t="shared" si="7"/>
        <v xml:space="preserve"> stůl č. 7</v>
      </c>
      <c r="R26" s="2" t="str">
        <f t="shared" si="8"/>
        <v xml:space="preserve"> stůl č. 7</v>
      </c>
    </row>
    <row r="27" spans="1:18" ht="16.5" customHeight="1" x14ac:dyDescent="0.2">
      <c r="A27" s="14" t="s">
        <v>29</v>
      </c>
      <c r="B27" s="79" t="e">
        <f>IF(C26='3-los'!$F$28,B26+'3-los'!$F$31,B26)</f>
        <v>#REF!</v>
      </c>
      <c r="C27" s="78">
        <f>IF(C26='3-los'!$F$28,1,C26+1)</f>
        <v>8</v>
      </c>
      <c r="D27" s="23" t="str">
        <f>D8</f>
        <v>druhý ze skupiny 3D</v>
      </c>
      <c r="E27" s="23" t="str">
        <f>D9</f>
        <v>vítěz skupiny 3B</v>
      </c>
      <c r="F27" s="25"/>
      <c r="G27" s="25"/>
      <c r="H27" s="25"/>
      <c r="I27" s="16" t="str">
        <f t="shared" si="0"/>
        <v/>
      </c>
      <c r="J27" s="16" t="str">
        <f t="shared" si="1"/>
        <v/>
      </c>
      <c r="K27" s="2" t="str">
        <f>IF(I27="","vítěz utkání 1/8-4",IF(I27=2,D27,E27))</f>
        <v>vítěz utkání 1/8-4</v>
      </c>
      <c r="L27" s="2" t="str">
        <f t="shared" si="2"/>
        <v/>
      </c>
      <c r="M27" s="2" t="str">
        <f t="shared" si="3"/>
        <v/>
      </c>
      <c r="N27" s="2">
        <f t="shared" si="4"/>
        <v>0</v>
      </c>
      <c r="O27" s="2">
        <f t="shared" si="5"/>
        <v>0</v>
      </c>
      <c r="P27" s="2" t="str">
        <f t="shared" si="6"/>
        <v/>
      </c>
      <c r="Q27" s="2" t="str">
        <f t="shared" si="7"/>
        <v xml:space="preserve"> stůl č. 8</v>
      </c>
      <c r="R27" s="2" t="str">
        <f t="shared" si="8"/>
        <v xml:space="preserve"> stůl č. 8</v>
      </c>
    </row>
    <row r="28" spans="1:18" ht="16.5" customHeight="1" x14ac:dyDescent="0.2">
      <c r="A28" s="14" t="s">
        <v>24</v>
      </c>
      <c r="B28" s="79" t="e">
        <f>IF(C27='3-los'!$F$28,B27+'3-los'!$F$31,B27)</f>
        <v>#REF!</v>
      </c>
      <c r="C28" s="78">
        <f>IF(C27=8,1,IF(C27='3-los'!$F$28,1,C27+1))</f>
        <v>1</v>
      </c>
      <c r="D28" s="23" t="str">
        <f>'4-pavouk'!C43</f>
        <v>třetí ze skupiny 3A</v>
      </c>
      <c r="E28" s="23" t="str">
        <f>'4-pavouk'!C44</f>
        <v>čtvrtý ze skupiny 3B</v>
      </c>
      <c r="F28" s="25"/>
      <c r="G28" s="25"/>
      <c r="H28" s="25"/>
      <c r="I28" s="16" t="str">
        <f t="shared" ref="I28:I37" si="9">IF(F28="","",((IF(F28&gt;0,1,0)+IF(G28&gt;0,1,0)+IF(H28&gt;0,1,0))))</f>
        <v/>
      </c>
      <c r="J28" s="16" t="str">
        <f t="shared" ref="J28:J37" si="10">IF(F28="","",IF(F28&gt;0,0,1)+IF(G28="",0,IF(G28&gt;0,0,1))+IF(H28="",0,IF(H28&gt;0,0,1)))</f>
        <v/>
      </c>
      <c r="K28" s="2" t="str">
        <f>IF(I28="","vítěz utkání 13/16-1",IF(I28=2,D28,E28))</f>
        <v>vítěz utkání 13/16-1</v>
      </c>
      <c r="L28" s="2" t="str">
        <f t="shared" ref="L28:L37" si="11">IF(I28="","",IF(I28=2,2,J28))</f>
        <v/>
      </c>
      <c r="M28" s="2" t="str">
        <f t="shared" ref="M28:M37" si="12">IF(I28=2,J28,I28)</f>
        <v/>
      </c>
      <c r="N28" s="2">
        <f t="shared" ref="N28:N37" si="13">IF(L28=I28,F28,-F28)</f>
        <v>0</v>
      </c>
      <c r="O28" s="2">
        <f t="shared" ref="O28:O37" si="14">IF(L28=I28,G28,-G28)</f>
        <v>0</v>
      </c>
      <c r="P28" s="2" t="str">
        <f t="shared" ref="P28:P37" si="15">IF(H28="","",IF(L28=I28,H28,-H28))</f>
        <v/>
      </c>
      <c r="Q28" s="2" t="str">
        <f t="shared" si="7"/>
        <v xml:space="preserve"> stůl č. 1</v>
      </c>
      <c r="R28" s="2" t="str">
        <f t="shared" si="8"/>
        <v xml:space="preserve"> stůl č. 1</v>
      </c>
    </row>
    <row r="29" spans="1:18" ht="16.5" customHeight="1" x14ac:dyDescent="0.2">
      <c r="A29" s="14" t="s">
        <v>25</v>
      </c>
      <c r="B29" s="79" t="e">
        <f>IF(C28='3-los'!$F$28,B28+'3-los'!$F$31,B28)</f>
        <v>#REF!</v>
      </c>
      <c r="C29" s="78">
        <f>IF(C28='3-los'!$F$28,1,C28+1)</f>
        <v>2</v>
      </c>
      <c r="D29" s="23" t="str">
        <f>'4-pavouk'!C46</f>
        <v>třetí ze skupiny 3C</v>
      </c>
      <c r="E29" s="23" t="str">
        <f>'4-pavouk'!C47</f>
        <v>čtvrtý ze skupiny 3D</v>
      </c>
      <c r="F29" s="25"/>
      <c r="G29" s="25"/>
      <c r="H29" s="25"/>
      <c r="I29" s="16" t="str">
        <f t="shared" si="9"/>
        <v/>
      </c>
      <c r="J29" s="16" t="str">
        <f t="shared" si="10"/>
        <v/>
      </c>
      <c r="K29" s="2" t="str">
        <f>IF(I29="","vítěz utkání 13/16-2",IF(I29=2,D29,E29))</f>
        <v>vítěz utkání 13/16-2</v>
      </c>
      <c r="L29" s="2" t="str">
        <f t="shared" si="11"/>
        <v/>
      </c>
      <c r="M29" s="2" t="str">
        <f t="shared" si="12"/>
        <v/>
      </c>
      <c r="N29" s="2">
        <f t="shared" si="13"/>
        <v>0</v>
      </c>
      <c r="O29" s="2">
        <f t="shared" si="14"/>
        <v>0</v>
      </c>
      <c r="P29" s="2" t="str">
        <f t="shared" si="15"/>
        <v/>
      </c>
      <c r="Q29" s="2" t="str">
        <f t="shared" si="7"/>
        <v xml:space="preserve"> stůl č. 2</v>
      </c>
      <c r="R29" s="2" t="str">
        <f t="shared" si="8"/>
        <v xml:space="preserve"> stůl č. 2</v>
      </c>
    </row>
    <row r="30" spans="1:18" ht="16.5" customHeight="1" x14ac:dyDescent="0.2">
      <c r="A30" s="14" t="s">
        <v>30</v>
      </c>
      <c r="B30" s="79" t="e">
        <f>IF(C29='3-los'!$F$28,B29+'3-los'!$F$31,B29)</f>
        <v>#REF!</v>
      </c>
      <c r="C30" s="78">
        <f>IF(C29='3-los'!$F$28,1,C29+1)</f>
        <v>3</v>
      </c>
      <c r="D30" s="23" t="str">
        <f>'4-pavouk'!C18</f>
        <v>vítěz skupiny 3A</v>
      </c>
      <c r="E30" s="23" t="str">
        <f>'4-pavouk'!C19</f>
        <v>druhý ze skupiny 3B</v>
      </c>
      <c r="F30" s="25"/>
      <c r="G30" s="25"/>
      <c r="H30" s="25"/>
      <c r="I30" s="16" t="str">
        <f t="shared" si="9"/>
        <v/>
      </c>
      <c r="J30" s="16" t="str">
        <f t="shared" si="10"/>
        <v/>
      </c>
      <c r="K30" s="2" t="str">
        <f>IF(I30="","vítěz utkání 5/8-1",IF(I30=2,D30,E30))</f>
        <v>vítěz utkání 5/8-1</v>
      </c>
      <c r="L30" s="2" t="str">
        <f t="shared" si="11"/>
        <v/>
      </c>
      <c r="M30" s="2" t="str">
        <f t="shared" si="12"/>
        <v/>
      </c>
      <c r="N30" s="2">
        <f t="shared" si="13"/>
        <v>0</v>
      </c>
      <c r="O30" s="2">
        <f t="shared" si="14"/>
        <v>0</v>
      </c>
      <c r="P30" s="2" t="str">
        <f t="shared" si="15"/>
        <v/>
      </c>
      <c r="Q30" s="2" t="str">
        <f t="shared" si="7"/>
        <v xml:space="preserve"> stůl č. 3</v>
      </c>
      <c r="R30" s="2" t="str">
        <f t="shared" si="8"/>
        <v xml:space="preserve"> stůl č. 3</v>
      </c>
    </row>
    <row r="31" spans="1:18" ht="16.5" customHeight="1" x14ac:dyDescent="0.2">
      <c r="A31" s="14" t="s">
        <v>31</v>
      </c>
      <c r="B31" s="79" t="e">
        <f>IF(C30='3-los'!$F$28,B30+'3-los'!$F$31,B30)</f>
        <v>#REF!</v>
      </c>
      <c r="C31" s="78">
        <f>IF(C30='3-los'!$F$28,1,C30+1)</f>
        <v>4</v>
      </c>
      <c r="D31" s="23" t="str">
        <f>'4-pavouk'!C21</f>
        <v>vítěz skupiny 3C</v>
      </c>
      <c r="E31" s="23" t="str">
        <f>'4-pavouk'!C22</f>
        <v>druhý ze skupiny 3D</v>
      </c>
      <c r="F31" s="25"/>
      <c r="G31" s="25"/>
      <c r="H31" s="25"/>
      <c r="I31" s="16" t="str">
        <f t="shared" si="9"/>
        <v/>
      </c>
      <c r="J31" s="16" t="str">
        <f t="shared" si="10"/>
        <v/>
      </c>
      <c r="K31" s="2" t="str">
        <f>IF(I31="","vítěz utkání 5/8-2",IF(I31=2,D31,E31))</f>
        <v>vítěz utkání 5/8-2</v>
      </c>
      <c r="L31" s="2" t="str">
        <f t="shared" si="11"/>
        <v/>
      </c>
      <c r="M31" s="2" t="str">
        <f t="shared" si="12"/>
        <v/>
      </c>
      <c r="N31" s="2">
        <f t="shared" si="13"/>
        <v>0</v>
      </c>
      <c r="O31" s="2">
        <f t="shared" si="14"/>
        <v>0</v>
      </c>
      <c r="P31" s="2" t="str">
        <f t="shared" si="15"/>
        <v/>
      </c>
      <c r="Q31" s="2" t="str">
        <f t="shared" si="7"/>
        <v xml:space="preserve"> stůl č. 4</v>
      </c>
      <c r="R31" s="2" t="str">
        <f t="shared" si="8"/>
        <v xml:space="preserve"> stůl č. 4</v>
      </c>
    </row>
    <row r="32" spans="1:18" ht="16.5" customHeight="1" x14ac:dyDescent="0.2">
      <c r="A32" s="14" t="s">
        <v>32</v>
      </c>
      <c r="B32" s="79" t="e">
        <f>IF(C31='3-los'!$F$28,B31+'3-los'!$F$31,B31)</f>
        <v>#REF!</v>
      </c>
      <c r="C32" s="78">
        <f>IF(C31='3-los'!$F$28,1,C31+1)</f>
        <v>5</v>
      </c>
      <c r="D32" s="23" t="str">
        <f>K20</f>
        <v>vítěz utkání 9/16-1</v>
      </c>
      <c r="E32" s="23" t="str">
        <f>K21</f>
        <v>vítěz utkání 9/16-2</v>
      </c>
      <c r="F32" s="25"/>
      <c r="G32" s="25"/>
      <c r="H32" s="25"/>
      <c r="I32" s="16" t="str">
        <f t="shared" si="9"/>
        <v/>
      </c>
      <c r="J32" s="16" t="str">
        <f t="shared" si="10"/>
        <v/>
      </c>
      <c r="K32" s="2" t="str">
        <f>IF(I32="","vítěz utkání 9/12-1",IF(I32=2,D32,E32))</f>
        <v>vítěz utkání 9/12-1</v>
      </c>
      <c r="L32" s="2" t="str">
        <f t="shared" si="11"/>
        <v/>
      </c>
      <c r="M32" s="2" t="str">
        <f t="shared" si="12"/>
        <v/>
      </c>
      <c r="N32" s="2">
        <f t="shared" si="13"/>
        <v>0</v>
      </c>
      <c r="O32" s="2">
        <f t="shared" si="14"/>
        <v>0</v>
      </c>
      <c r="P32" s="2" t="str">
        <f t="shared" si="15"/>
        <v/>
      </c>
      <c r="Q32" s="2" t="str">
        <f t="shared" si="7"/>
        <v xml:space="preserve"> stůl č. 5</v>
      </c>
      <c r="R32" s="2" t="str">
        <f t="shared" si="8"/>
        <v xml:space="preserve"> stůl č. 5</v>
      </c>
    </row>
    <row r="33" spans="1:18" ht="16.5" customHeight="1" x14ac:dyDescent="0.2">
      <c r="A33" s="14" t="s">
        <v>33</v>
      </c>
      <c r="B33" s="79" t="e">
        <f>IF(C32='3-los'!$F$28,B32+'3-los'!$F$31,B32)</f>
        <v>#REF!</v>
      </c>
      <c r="C33" s="78">
        <f>IF(C32='3-los'!$F$28,1,C32+1)</f>
        <v>6</v>
      </c>
      <c r="D33" s="23" t="str">
        <f>K22</f>
        <v>vítěz utkání 9/16-3</v>
      </c>
      <c r="E33" s="23" t="str">
        <f>K23</f>
        <v>vítěz utkání 9/16-4</v>
      </c>
      <c r="F33" s="25"/>
      <c r="G33" s="25"/>
      <c r="H33" s="25"/>
      <c r="I33" s="16" t="str">
        <f t="shared" si="9"/>
        <v/>
      </c>
      <c r="J33" s="16" t="str">
        <f t="shared" si="10"/>
        <v/>
      </c>
      <c r="K33" s="2" t="str">
        <f>IF(I33="","vítěz utkání 9/12-2",IF(I33=2,D33,E33))</f>
        <v>vítěz utkání 9/12-2</v>
      </c>
      <c r="L33" s="2" t="str">
        <f t="shared" si="11"/>
        <v/>
      </c>
      <c r="M33" s="2" t="str">
        <f t="shared" si="12"/>
        <v/>
      </c>
      <c r="N33" s="2">
        <f t="shared" si="13"/>
        <v>0</v>
      </c>
      <c r="O33" s="2">
        <f t="shared" si="14"/>
        <v>0</v>
      </c>
      <c r="P33" s="2" t="str">
        <f t="shared" si="15"/>
        <v/>
      </c>
      <c r="Q33" s="2" t="str">
        <f t="shared" si="7"/>
        <v xml:space="preserve"> stůl č. 6</v>
      </c>
      <c r="R33" s="2" t="str">
        <f t="shared" si="8"/>
        <v xml:space="preserve"> stůl č. 6</v>
      </c>
    </row>
    <row r="34" spans="1:18" ht="16.5" customHeight="1" x14ac:dyDescent="0.2">
      <c r="A34" s="14" t="s">
        <v>34</v>
      </c>
      <c r="B34" s="79" t="e">
        <f>IF(C33='3-los'!$F$28,B33+'3-los'!$F$31,B33)</f>
        <v>#REF!</v>
      </c>
      <c r="C34" s="78">
        <f>IF(C33='3-los'!$F$28,1,C33+1)</f>
        <v>7</v>
      </c>
      <c r="D34" s="23" t="str">
        <f>K24</f>
        <v>vítěz utkání 1/8-1</v>
      </c>
      <c r="E34" s="23" t="str">
        <f>K25</f>
        <v>vítěz utkání 1/8-2</v>
      </c>
      <c r="F34" s="25"/>
      <c r="G34" s="25"/>
      <c r="H34" s="25"/>
      <c r="I34" s="16" t="str">
        <f t="shared" si="9"/>
        <v/>
      </c>
      <c r="J34" s="16" t="str">
        <f t="shared" si="10"/>
        <v/>
      </c>
      <c r="K34" s="2" t="str">
        <f>IF(I34="","vítěz utkání 1/4-1",IF(I34=2,D34,E34))</f>
        <v>vítěz utkání 1/4-1</v>
      </c>
      <c r="L34" s="2" t="str">
        <f t="shared" si="11"/>
        <v/>
      </c>
      <c r="M34" s="2" t="str">
        <f t="shared" si="12"/>
        <v/>
      </c>
      <c r="N34" s="2">
        <f t="shared" si="13"/>
        <v>0</v>
      </c>
      <c r="O34" s="2">
        <f t="shared" si="14"/>
        <v>0</v>
      </c>
      <c r="P34" s="2" t="str">
        <f t="shared" si="15"/>
        <v/>
      </c>
      <c r="Q34" s="2" t="str">
        <f t="shared" si="7"/>
        <v xml:space="preserve"> stůl č. 7</v>
      </c>
      <c r="R34" s="2" t="str">
        <f t="shared" si="8"/>
        <v xml:space="preserve"> stůl č. 7</v>
      </c>
    </row>
    <row r="35" spans="1:18" ht="16.5" customHeight="1" x14ac:dyDescent="0.2">
      <c r="A35" s="14" t="s">
        <v>35</v>
      </c>
      <c r="B35" s="79" t="e">
        <f>IF(C34='3-los'!$F$28,B34+'3-los'!$F$31,B34)</f>
        <v>#REF!</v>
      </c>
      <c r="C35" s="78">
        <f>IF(C34='3-los'!$F$28,1,C34+1)</f>
        <v>8</v>
      </c>
      <c r="D35" s="23" t="str">
        <f>K26</f>
        <v>vítěz utkání 1/8-3</v>
      </c>
      <c r="E35" s="23" t="str">
        <f>K27</f>
        <v>vítěz utkání 1/8-4</v>
      </c>
      <c r="F35" s="25"/>
      <c r="G35" s="25"/>
      <c r="H35" s="25"/>
      <c r="I35" s="16" t="str">
        <f t="shared" si="9"/>
        <v/>
      </c>
      <c r="J35" s="16" t="str">
        <f t="shared" si="10"/>
        <v/>
      </c>
      <c r="K35" s="2" t="str">
        <f>IF(I35="","vítěz utkání 1/4-2",IF(I35=2,D35,E35))</f>
        <v>vítěz utkání 1/4-2</v>
      </c>
      <c r="L35" s="2" t="str">
        <f t="shared" si="11"/>
        <v/>
      </c>
      <c r="M35" s="2" t="str">
        <f t="shared" si="12"/>
        <v/>
      </c>
      <c r="N35" s="2">
        <f t="shared" si="13"/>
        <v>0</v>
      </c>
      <c r="O35" s="2">
        <f t="shared" si="14"/>
        <v>0</v>
      </c>
      <c r="P35" s="2" t="str">
        <f t="shared" si="15"/>
        <v/>
      </c>
      <c r="Q35" s="2" t="str">
        <f t="shared" si="7"/>
        <v xml:space="preserve"> stůl č. 8</v>
      </c>
      <c r="R35" s="2" t="str">
        <f t="shared" si="8"/>
        <v xml:space="preserve"> stůl č. 8</v>
      </c>
    </row>
    <row r="36" spans="1:18" ht="16.5" customHeight="1" x14ac:dyDescent="0.2">
      <c r="A36" s="14" t="s">
        <v>36</v>
      </c>
      <c r="B36" s="79" t="e">
        <f>IF(C35='3-los'!$F$28,B35+'3-los'!$F$31,B35)</f>
        <v>#REF!</v>
      </c>
      <c r="C36" s="78">
        <f>IF(C35=8,1,IF(C35='3-los'!$F$28,1,C35+1))</f>
        <v>1</v>
      </c>
      <c r="D36" s="23" t="str">
        <f>'4-pavouk'!E49</f>
        <v>třetí ze skupiny 3A</v>
      </c>
      <c r="E36" s="23" t="str">
        <f>'4-pavouk'!E50</f>
        <v>třetí ze skupiny 3C</v>
      </c>
      <c r="F36" s="25"/>
      <c r="G36" s="25"/>
      <c r="H36" s="25"/>
      <c r="I36" s="16" t="str">
        <f t="shared" si="9"/>
        <v/>
      </c>
      <c r="J36" s="16" t="str">
        <f t="shared" si="10"/>
        <v/>
      </c>
      <c r="K36" s="2" t="str">
        <f>IF(I36="","",IF(I36=2,D36,E36))</f>
        <v/>
      </c>
      <c r="L36" s="2" t="str">
        <f t="shared" si="11"/>
        <v/>
      </c>
      <c r="M36" s="2" t="str">
        <f t="shared" si="12"/>
        <v/>
      </c>
      <c r="N36" s="2">
        <f t="shared" si="13"/>
        <v>0</v>
      </c>
      <c r="O36" s="2">
        <f t="shared" si="14"/>
        <v>0</v>
      </c>
      <c r="P36" s="2" t="str">
        <f t="shared" si="15"/>
        <v/>
      </c>
      <c r="Q36" s="2" t="str">
        <f t="shared" si="7"/>
        <v xml:space="preserve"> stůl č. 1</v>
      </c>
      <c r="R36" s="2" t="str">
        <f t="shared" si="8"/>
        <v xml:space="preserve"> stůl č. 1</v>
      </c>
    </row>
    <row r="37" spans="1:18" ht="16.5" customHeight="1" x14ac:dyDescent="0.2">
      <c r="A37" s="14" t="s">
        <v>37</v>
      </c>
      <c r="B37" s="79" t="e">
        <f>IF(C36='3-los'!$F$28,B36+'3-los'!$F$31,B36)</f>
        <v>#REF!</v>
      </c>
      <c r="C37" s="78">
        <f>IF(C36='3-los'!$F$28,1,C36+1)</f>
        <v>2</v>
      </c>
      <c r="D37" s="23" t="str">
        <f>'4-pavouk'!E43</f>
        <v>vítěz utkání 13/16-1</v>
      </c>
      <c r="E37" s="23" t="str">
        <f>'4-pavouk'!E46</f>
        <v>vítěz utkání 13/16-2</v>
      </c>
      <c r="F37" s="25"/>
      <c r="G37" s="25"/>
      <c r="H37" s="25"/>
      <c r="I37" s="16" t="str">
        <f t="shared" si="9"/>
        <v/>
      </c>
      <c r="J37" s="16" t="str">
        <f t="shared" si="10"/>
        <v/>
      </c>
      <c r="K37" s="2" t="str">
        <f>IF(I37="","",IF(I37=2,D37,E37))</f>
        <v/>
      </c>
      <c r="L37" s="2" t="str">
        <f t="shared" si="11"/>
        <v/>
      </c>
      <c r="M37" s="2" t="str">
        <f t="shared" si="12"/>
        <v/>
      </c>
      <c r="N37" s="2">
        <f t="shared" si="13"/>
        <v>0</v>
      </c>
      <c r="O37" s="2">
        <f t="shared" si="14"/>
        <v>0</v>
      </c>
      <c r="P37" s="2" t="str">
        <f t="shared" si="15"/>
        <v/>
      </c>
      <c r="Q37" s="2" t="str">
        <f t="shared" si="7"/>
        <v xml:space="preserve"> stůl č. 2</v>
      </c>
      <c r="R37" s="2" t="str">
        <f t="shared" si="8"/>
        <v xml:space="preserve"> stůl č. 2</v>
      </c>
    </row>
    <row r="38" spans="1:18" ht="16.5" customHeight="1" x14ac:dyDescent="0.2">
      <c r="A38" s="14" t="s">
        <v>38</v>
      </c>
      <c r="B38" s="79" t="e">
        <f>IF(C37='3-los'!$F$28,B37+'3-los'!$F$31,B37)</f>
        <v>#REF!</v>
      </c>
      <c r="C38" s="78">
        <f>IF(C37='3-los'!$F$28,1,C37+1)</f>
        <v>3</v>
      </c>
      <c r="D38" s="23" t="str">
        <f>'4-pavouk'!E39</f>
        <v>vítěz utkání 9/16-1</v>
      </c>
      <c r="E38" s="23" t="str">
        <f>'4-pavouk'!E40</f>
        <v>vítěz utkání 9/16-3</v>
      </c>
      <c r="F38" s="25"/>
      <c r="G38" s="25"/>
      <c r="H38" s="25"/>
      <c r="I38" s="16" t="str">
        <f t="shared" ref="I38:I43" si="16">IF(F38="","",((IF(F38&gt;0,1,0)+IF(G38&gt;0,1,0)+IF(H38&gt;0,1,0))))</f>
        <v/>
      </c>
      <c r="J38" s="16" t="str">
        <f t="shared" ref="J38:J43" si="17">IF(F38="","",IF(F38&gt;0,0,1)+IF(G38="",0,IF(G38&gt;0,0,1))+IF(H38="",0,IF(H38&gt;0,0,1)))</f>
        <v/>
      </c>
      <c r="K38" s="2" t="str">
        <f t="shared" ref="K38:K43" si="18">IF(I38="","",IF(I38=2,D38,E38))</f>
        <v/>
      </c>
      <c r="L38" s="2" t="str">
        <f t="shared" ref="L38:L43" si="19">IF(I38="","",IF(I38=2,2,J38))</f>
        <v/>
      </c>
      <c r="M38" s="2" t="str">
        <f t="shared" ref="M38:M43" si="20">IF(I38=2,J38,I38)</f>
        <v/>
      </c>
      <c r="N38" s="2">
        <f t="shared" ref="N38:N43" si="21">IF(L38=I38,F38,-F38)</f>
        <v>0</v>
      </c>
      <c r="O38" s="2">
        <f t="shared" ref="O38:O43" si="22">IF(L38=I38,G38,-G38)</f>
        <v>0</v>
      </c>
      <c r="P38" s="2" t="str">
        <f t="shared" ref="P38:P43" si="23">IF(H38="","",IF(L38=I38,H38,-H38))</f>
        <v/>
      </c>
      <c r="Q38" s="2" t="str">
        <f t="shared" si="7"/>
        <v xml:space="preserve"> stůl č. 3</v>
      </c>
      <c r="R38" s="2" t="str">
        <f t="shared" si="8"/>
        <v xml:space="preserve"> stůl č. 3</v>
      </c>
    </row>
    <row r="39" spans="1:18" ht="16.5" customHeight="1" x14ac:dyDescent="0.2">
      <c r="A39" s="14" t="s">
        <v>39</v>
      </c>
      <c r="B39" s="79" t="e">
        <f>IF(C38='3-los'!$F$28,B38+'3-los'!$F$31,B38)</f>
        <v>#REF!</v>
      </c>
      <c r="C39" s="78">
        <f>IF(C38='3-los'!$F$28,1,C38+1)</f>
        <v>4</v>
      </c>
      <c r="D39" s="23" t="str">
        <f>'4-pavouk'!E29</f>
        <v>vítěz utkání 9/12-1</v>
      </c>
      <c r="E39" s="23" t="str">
        <f>'4-pavouk'!E35</f>
        <v>vítěz utkání 9/12-2</v>
      </c>
      <c r="F39" s="25"/>
      <c r="G39" s="25"/>
      <c r="H39" s="25"/>
      <c r="I39" s="16" t="str">
        <f t="shared" si="16"/>
        <v/>
      </c>
      <c r="J39" s="16" t="str">
        <f t="shared" si="17"/>
        <v/>
      </c>
      <c r="K39" s="2" t="str">
        <f t="shared" si="18"/>
        <v/>
      </c>
      <c r="L39" s="2" t="str">
        <f t="shared" si="19"/>
        <v/>
      </c>
      <c r="M39" s="2" t="str">
        <f t="shared" si="20"/>
        <v/>
      </c>
      <c r="N39" s="2">
        <f t="shared" si="21"/>
        <v>0</v>
      </c>
      <c r="O39" s="2">
        <f t="shared" si="22"/>
        <v>0</v>
      </c>
      <c r="P39" s="2" t="str">
        <f t="shared" si="23"/>
        <v/>
      </c>
      <c r="Q39" s="2" t="str">
        <f t="shared" si="7"/>
        <v xml:space="preserve"> stůl č. 4</v>
      </c>
      <c r="R39" s="2" t="str">
        <f t="shared" si="8"/>
        <v xml:space="preserve"> stůl č. 4</v>
      </c>
    </row>
    <row r="40" spans="1:18" ht="16.5" customHeight="1" x14ac:dyDescent="0.2">
      <c r="A40" s="14" t="s">
        <v>40</v>
      </c>
      <c r="B40" s="79" t="e">
        <f>IF(C39='3-los'!$F$28,B39+'3-los'!$F$31,B39)</f>
        <v>#REF!</v>
      </c>
      <c r="C40" s="78">
        <f>IF(C39='3-los'!$F$28,1,C39+1)</f>
        <v>5</v>
      </c>
      <c r="D40" s="23" t="str">
        <f>'4-pavouk'!E24</f>
        <v>vítěz skupiny 3A</v>
      </c>
      <c r="E40" s="23" t="str">
        <f>'4-pavouk'!E25</f>
        <v>vítěz skupiny 3C</v>
      </c>
      <c r="F40" s="25"/>
      <c r="G40" s="25"/>
      <c r="H40" s="25"/>
      <c r="I40" s="16" t="str">
        <f t="shared" si="16"/>
        <v/>
      </c>
      <c r="J40" s="16" t="str">
        <f t="shared" si="17"/>
        <v/>
      </c>
      <c r="K40" s="2" t="str">
        <f t="shared" si="18"/>
        <v/>
      </c>
      <c r="L40" s="2" t="str">
        <f t="shared" si="19"/>
        <v/>
      </c>
      <c r="M40" s="2" t="str">
        <f t="shared" si="20"/>
        <v/>
      </c>
      <c r="N40" s="2">
        <f t="shared" si="21"/>
        <v>0</v>
      </c>
      <c r="O40" s="2">
        <f t="shared" si="22"/>
        <v>0</v>
      </c>
      <c r="P40" s="2" t="str">
        <f t="shared" si="23"/>
        <v/>
      </c>
      <c r="Q40" s="2" t="str">
        <f t="shared" si="7"/>
        <v xml:space="preserve"> stůl č. 5</v>
      </c>
      <c r="R40" s="2" t="str">
        <f t="shared" si="8"/>
        <v xml:space="preserve"> stůl č. 5</v>
      </c>
    </row>
    <row r="41" spans="1:18" ht="16.5" customHeight="1" x14ac:dyDescent="0.2">
      <c r="A41" s="14" t="s">
        <v>41</v>
      </c>
      <c r="B41" s="79" t="e">
        <f>IF(C40='3-los'!$F$28,B40+'3-los'!$F$31,B40)</f>
        <v>#REF!</v>
      </c>
      <c r="C41" s="78">
        <f>IF(C40='3-los'!$F$28,1,C40+1)</f>
        <v>6</v>
      </c>
      <c r="D41" s="23" t="str">
        <f>'4-pavouk'!E18</f>
        <v>vítěz utkání 5/8-1</v>
      </c>
      <c r="E41" s="23" t="str">
        <f>'4-pavouk'!E21</f>
        <v>vítěz utkání 5/8-2</v>
      </c>
      <c r="F41" s="25"/>
      <c r="G41" s="25"/>
      <c r="H41" s="25"/>
      <c r="I41" s="16" t="str">
        <f t="shared" si="16"/>
        <v/>
      </c>
      <c r="J41" s="16" t="str">
        <f t="shared" si="17"/>
        <v/>
      </c>
      <c r="K41" s="2" t="str">
        <f t="shared" si="18"/>
        <v/>
      </c>
      <c r="L41" s="2" t="str">
        <f t="shared" si="19"/>
        <v/>
      </c>
      <c r="M41" s="2" t="str">
        <f t="shared" si="20"/>
        <v/>
      </c>
      <c r="N41" s="2">
        <f t="shared" si="21"/>
        <v>0</v>
      </c>
      <c r="O41" s="2">
        <f t="shared" si="22"/>
        <v>0</v>
      </c>
      <c r="P41" s="2" t="str">
        <f t="shared" si="23"/>
        <v/>
      </c>
      <c r="Q41" s="2" t="str">
        <f t="shared" si="7"/>
        <v xml:space="preserve"> stůl č. 6</v>
      </c>
      <c r="R41" s="2" t="str">
        <f t="shared" si="8"/>
        <v xml:space="preserve"> stůl č. 6</v>
      </c>
    </row>
    <row r="42" spans="1:18" ht="16.5" customHeight="1" x14ac:dyDescent="0.2">
      <c r="A42" s="14" t="s">
        <v>42</v>
      </c>
      <c r="B42" s="79" t="e">
        <f>IF(C41='3-los'!$F$28,B41+'3-los'!$F$31,B41)</f>
        <v>#REF!</v>
      </c>
      <c r="C42" s="78">
        <f>IF(C41='3-los'!$F$28,1,C41+1)</f>
        <v>7</v>
      </c>
      <c r="D42" s="23" t="str">
        <f>'4-pavouk'!E14</f>
        <v>vítěz utkání 1/8-2</v>
      </c>
      <c r="E42" s="23" t="str">
        <f>'4-pavouk'!E15</f>
        <v>vítěz utkání 1/8-3</v>
      </c>
      <c r="F42" s="25"/>
      <c r="G42" s="25"/>
      <c r="H42" s="25"/>
      <c r="I42" s="16" t="str">
        <f t="shared" si="16"/>
        <v/>
      </c>
      <c r="J42" s="16" t="str">
        <f t="shared" si="17"/>
        <v/>
      </c>
      <c r="K42" s="2" t="str">
        <f t="shared" si="18"/>
        <v/>
      </c>
      <c r="L42" s="2" t="str">
        <f t="shared" si="19"/>
        <v/>
      </c>
      <c r="M42" s="2" t="str">
        <f t="shared" si="20"/>
        <v/>
      </c>
      <c r="N42" s="2">
        <f t="shared" si="21"/>
        <v>0</v>
      </c>
      <c r="O42" s="2">
        <f t="shared" si="22"/>
        <v>0</v>
      </c>
      <c r="P42" s="2" t="str">
        <f t="shared" si="23"/>
        <v/>
      </c>
      <c r="Q42" s="2" t="str">
        <f t="shared" si="7"/>
        <v xml:space="preserve"> stůl č. 7</v>
      </c>
      <c r="R42" s="2" t="str">
        <f t="shared" si="8"/>
        <v xml:space="preserve"> stůl č. 7</v>
      </c>
    </row>
    <row r="43" spans="1:18" s="19" customFormat="1" ht="16.5" customHeight="1" x14ac:dyDescent="0.2">
      <c r="A43" s="17" t="s">
        <v>52</v>
      </c>
      <c r="B43" s="80" t="e">
        <f>IF(C42='3-los'!$F$28,B42+'3-los'!$F$31,B42)</f>
        <v>#REF!</v>
      </c>
      <c r="C43" s="81">
        <f>IF(C42='3-los'!$F$28,1,C42+1)</f>
        <v>8</v>
      </c>
      <c r="D43" s="24" t="str">
        <f>'4-pavouk'!E4</f>
        <v>vítěz utkání 1/4-1</v>
      </c>
      <c r="E43" s="24" t="str">
        <f>'4-pavouk'!E10</f>
        <v>vítěz utkání 1/4-2</v>
      </c>
      <c r="F43" s="26"/>
      <c r="G43" s="26"/>
      <c r="H43" s="26"/>
      <c r="I43" s="18" t="str">
        <f t="shared" si="16"/>
        <v/>
      </c>
      <c r="J43" s="18" t="str">
        <f t="shared" si="17"/>
        <v/>
      </c>
      <c r="K43" s="19" t="str">
        <f t="shared" si="18"/>
        <v/>
      </c>
      <c r="L43" s="19" t="str">
        <f t="shared" si="19"/>
        <v/>
      </c>
      <c r="M43" s="19" t="str">
        <f t="shared" si="20"/>
        <v/>
      </c>
      <c r="N43" s="19">
        <f t="shared" si="21"/>
        <v>0</v>
      </c>
      <c r="O43" s="19">
        <f t="shared" si="22"/>
        <v>0</v>
      </c>
      <c r="P43" s="19" t="str">
        <f t="shared" si="23"/>
        <v/>
      </c>
      <c r="Q43" s="19" t="str">
        <f t="shared" si="7"/>
        <v xml:space="preserve"> stůl č. 8</v>
      </c>
      <c r="R43" s="19" t="str">
        <f t="shared" si="8"/>
        <v xml:space="preserve"> stůl č. 8</v>
      </c>
    </row>
  </sheetData>
  <mergeCells count="2">
    <mergeCell ref="A2:A9"/>
    <mergeCell ref="A10:A17"/>
  </mergeCells>
  <pageMargins left="0.39370078740157483" right="0.39370078740157483" top="0.39370078740157483" bottom="0.39370078740157483" header="0.51181102362204722" footer="0.51181102362204722"/>
  <pageSetup paperSize="9" orientation="portrait" horizontalDpi="4294967292" verticalDpi="36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7"/>
  <dimension ref="A1:I54"/>
  <sheetViews>
    <sheetView showGridLines="0" view="pageBreakPreview" zoomScale="85" zoomScaleNormal="75" workbookViewId="0">
      <selection activeCell="G37" sqref="G37:H37"/>
    </sheetView>
  </sheetViews>
  <sheetFormatPr defaultRowHeight="12.75" x14ac:dyDescent="0.2"/>
  <cols>
    <col min="1" max="1" width="20" style="175" customWidth="1"/>
    <col min="2" max="2" width="5.28515625" style="1" customWidth="1"/>
    <col min="3" max="3" width="22.140625" style="175" customWidth="1"/>
    <col min="4" max="4" width="7.28515625" style="1" bestFit="1" customWidth="1"/>
    <col min="5" max="5" width="21.7109375" style="174" customWidth="1"/>
    <col min="6" max="6" width="6.7109375" style="1" bestFit="1" customWidth="1"/>
    <col min="7" max="7" width="19.42578125" style="1" customWidth="1"/>
    <col min="8" max="8" width="6.7109375" style="1" bestFit="1" customWidth="1"/>
    <col min="9" max="9" width="3.85546875" style="1" bestFit="1" customWidth="1"/>
    <col min="10" max="16384" width="9.140625" style="1"/>
  </cols>
  <sheetData>
    <row r="1" spans="1:9" x14ac:dyDescent="0.2">
      <c r="A1" s="22" t="s">
        <v>129</v>
      </c>
      <c r="B1" s="22"/>
      <c r="C1" s="22"/>
      <c r="D1" s="22"/>
      <c r="E1" s="22"/>
      <c r="F1" s="22"/>
      <c r="G1" s="22"/>
      <c r="H1" s="22"/>
      <c r="I1" s="22"/>
    </row>
    <row r="2" spans="1:9" s="178" customFormat="1" ht="11.25" x14ac:dyDescent="0.2">
      <c r="A2" s="454" t="s">
        <v>211</v>
      </c>
      <c r="B2" s="454"/>
      <c r="C2" s="454" t="s">
        <v>212</v>
      </c>
      <c r="D2" s="454"/>
      <c r="E2" s="454" t="s">
        <v>153</v>
      </c>
      <c r="F2" s="454"/>
      <c r="G2" s="454" t="s">
        <v>152</v>
      </c>
      <c r="H2" s="454"/>
      <c r="I2" s="454"/>
    </row>
    <row r="3" spans="1:9" s="180" customFormat="1" ht="11.25" x14ac:dyDescent="0.2">
      <c r="A3" s="451" t="str">
        <f>'4-zapasy'!D2</f>
        <v>vítěz skupiny 3A</v>
      </c>
      <c r="B3" s="452"/>
      <c r="C3" s="448" t="str">
        <f>'4-zapasy'!K24</f>
        <v>vítěz utkání 1/8-1</v>
      </c>
      <c r="D3" s="448"/>
      <c r="E3" s="179"/>
    </row>
    <row r="4" spans="1:9" s="180" customFormat="1" ht="11.25" x14ac:dyDescent="0.2">
      <c r="A4" s="448" t="str">
        <f>'4-zapasy'!D3</f>
        <v>druhý ze skupiny 3C</v>
      </c>
      <c r="B4" s="449"/>
      <c r="C4" s="180" t="str">
        <f>'4-zapasy'!R24</f>
        <v xml:space="preserve"> stůl č. 5</v>
      </c>
      <c r="D4" s="181" t="e">
        <f>'4-zapasy'!B24</f>
        <v>#REF!</v>
      </c>
      <c r="E4" s="448" t="str">
        <f>'4-zapasy'!K34</f>
        <v>vítěz utkání 1/4-1</v>
      </c>
      <c r="F4" s="448"/>
    </row>
    <row r="5" spans="1:9" s="180" customFormat="1" ht="11.25" x14ac:dyDescent="0.2">
      <c r="A5" s="179"/>
      <c r="B5" s="179"/>
      <c r="D5" s="182"/>
      <c r="E5" s="179" t="str">
        <f>'4-zapasy'!R34</f>
        <v xml:space="preserve"> stůl č. 7</v>
      </c>
      <c r="F5" s="181" t="e">
        <f>'4-zapasy'!B34</f>
        <v>#REF!</v>
      </c>
    </row>
    <row r="6" spans="1:9" s="180" customFormat="1" ht="11.25" x14ac:dyDescent="0.2">
      <c r="A6" s="451" t="str">
        <f>'4-zapasy'!D4</f>
        <v>druhý ze skupiny 3B</v>
      </c>
      <c r="B6" s="452"/>
      <c r="C6" s="448" t="str">
        <f>'4-zapasy'!K25</f>
        <v>vítěz utkání 1/8-2</v>
      </c>
      <c r="D6" s="448"/>
      <c r="E6" s="179"/>
    </row>
    <row r="7" spans="1:9" s="180" customFormat="1" ht="11.25" customHeight="1" x14ac:dyDescent="0.2">
      <c r="A7" s="448" t="str">
        <f>'4-zapasy'!D5</f>
        <v>vítěz skupiny 3D</v>
      </c>
      <c r="B7" s="449"/>
      <c r="C7" s="180" t="str">
        <f>'4-zapasy'!R25</f>
        <v xml:space="preserve"> stůl č. 6</v>
      </c>
      <c r="D7" s="181" t="e">
        <f>'4-zapasy'!B25</f>
        <v>#REF!</v>
      </c>
      <c r="E7" s="179"/>
      <c r="G7" s="456" t="str">
        <f>'4-zapasy'!K43</f>
        <v/>
      </c>
      <c r="H7" s="456"/>
      <c r="I7" s="183" t="s">
        <v>1</v>
      </c>
    </row>
    <row r="8" spans="1:9" s="180" customFormat="1" ht="11.25" x14ac:dyDescent="0.2">
      <c r="A8" s="179"/>
      <c r="B8" s="179"/>
      <c r="E8" s="179"/>
      <c r="G8" s="180" t="str">
        <f>'4-zapasy'!R43</f>
        <v xml:space="preserve"> stůl č. 8</v>
      </c>
      <c r="H8" s="181" t="e">
        <f>'4-zapasy'!B43</f>
        <v>#REF!</v>
      </c>
    </row>
    <row r="9" spans="1:9" s="180" customFormat="1" ht="11.25" x14ac:dyDescent="0.2">
      <c r="A9" s="451" t="str">
        <f>'4-zapasy'!D6</f>
        <v>vítěz skupiny 3C</v>
      </c>
      <c r="B9" s="452"/>
      <c r="C9" s="448" t="str">
        <f>'4-zapasy'!K26</f>
        <v>vítěz utkání 1/8-3</v>
      </c>
      <c r="D9" s="448"/>
      <c r="E9" s="179"/>
    </row>
    <row r="10" spans="1:9" s="180" customFormat="1" ht="11.25" x14ac:dyDescent="0.2">
      <c r="A10" s="448" t="str">
        <f>'4-zapasy'!D7</f>
        <v>druhý ze skupiny 3A</v>
      </c>
      <c r="B10" s="449"/>
      <c r="C10" s="180" t="str">
        <f>'4-zapasy'!R26</f>
        <v xml:space="preserve"> stůl č. 7</v>
      </c>
      <c r="D10" s="181" t="e">
        <f>'4-zapasy'!B26</f>
        <v>#REF!</v>
      </c>
      <c r="E10" s="448" t="str">
        <f>'4-zapasy'!K35</f>
        <v>vítěz utkání 1/4-2</v>
      </c>
      <c r="F10" s="448"/>
    </row>
    <row r="11" spans="1:9" s="180" customFormat="1" ht="11.25" customHeight="1" x14ac:dyDescent="0.2">
      <c r="A11" s="179"/>
      <c r="B11" s="179"/>
      <c r="D11" s="182"/>
      <c r="E11" s="179" t="str">
        <f>'4-zapasy'!R35</f>
        <v xml:space="preserve"> stůl č. 8</v>
      </c>
      <c r="F11" s="181" t="e">
        <f>'4-zapasy'!B35</f>
        <v>#REF!</v>
      </c>
    </row>
    <row r="12" spans="1:9" s="180" customFormat="1" ht="11.25" x14ac:dyDescent="0.2">
      <c r="A12" s="451" t="str">
        <f>'4-zapasy'!D8</f>
        <v>druhý ze skupiny 3D</v>
      </c>
      <c r="B12" s="452"/>
      <c r="C12" s="448" t="str">
        <f>'4-zapasy'!K27</f>
        <v>vítěz utkání 1/8-4</v>
      </c>
      <c r="D12" s="448"/>
      <c r="E12" s="179"/>
      <c r="G12" s="447" t="str">
        <f>IF(G7="","",IF(G7=E4,E10,E4))</f>
        <v/>
      </c>
      <c r="H12" s="447"/>
      <c r="I12" s="184" t="s">
        <v>3</v>
      </c>
    </row>
    <row r="13" spans="1:9" s="180" customFormat="1" ht="11.25" x14ac:dyDescent="0.2">
      <c r="A13" s="448" t="str">
        <f>'4-zapasy'!D9</f>
        <v>vítěz skupiny 3B</v>
      </c>
      <c r="B13" s="449"/>
      <c r="C13" s="180" t="str">
        <f>'4-zapasy'!R27</f>
        <v xml:space="preserve"> stůl č. 8</v>
      </c>
      <c r="D13" s="181" t="e">
        <f>'4-zapasy'!B27</f>
        <v>#REF!</v>
      </c>
      <c r="E13" s="179"/>
    </row>
    <row r="14" spans="1:9" s="185" customFormat="1" ht="11.25" x14ac:dyDescent="0.2">
      <c r="A14" s="180"/>
      <c r="B14" s="180"/>
      <c r="C14" s="454" t="s">
        <v>217</v>
      </c>
      <c r="D14" s="454"/>
      <c r="E14" s="451" t="str">
        <f>IF(E4="","poražený z utkání 1/4-1",IF(E4=C6,C3,C6))</f>
        <v>vítěz utkání 1/8-2</v>
      </c>
      <c r="F14" s="452"/>
      <c r="G14" s="450" t="str">
        <f>'4-zapasy'!K42</f>
        <v/>
      </c>
      <c r="H14" s="447"/>
      <c r="I14" s="184" t="s">
        <v>5</v>
      </c>
    </row>
    <row r="15" spans="1:9" s="185" customFormat="1" ht="11.25" x14ac:dyDescent="0.2">
      <c r="A15" s="180"/>
      <c r="C15" s="454"/>
      <c r="D15" s="454"/>
      <c r="E15" s="448" t="str">
        <f>IF(E10="","poražený z utkání 1/4-2",IF(E10=C9,C12,C9))</f>
        <v>vítěz utkání 1/8-3</v>
      </c>
      <c r="F15" s="449"/>
      <c r="G15" s="180" t="str">
        <f>'4-zapasy'!R42</f>
        <v xml:space="preserve"> stůl č. 7</v>
      </c>
      <c r="H15" s="181" t="e">
        <f>'4-zapasy'!B42</f>
        <v>#REF!</v>
      </c>
      <c r="I15" s="180"/>
    </row>
    <row r="16" spans="1:9" s="180" customFormat="1" ht="11.25" x14ac:dyDescent="0.2">
      <c r="E16" s="179"/>
      <c r="G16" s="447" t="str">
        <f>IF(G14="","",IF(G14=E14,E15,E14))</f>
        <v/>
      </c>
      <c r="H16" s="447"/>
      <c r="I16" s="184" t="s">
        <v>11</v>
      </c>
    </row>
    <row r="17" spans="1:9" s="180" customFormat="1" ht="11.25" x14ac:dyDescent="0.2">
      <c r="C17" s="460" t="s">
        <v>213</v>
      </c>
      <c r="D17" s="460"/>
      <c r="E17" s="454" t="s">
        <v>154</v>
      </c>
      <c r="F17" s="454"/>
    </row>
    <row r="18" spans="1:9" s="185" customFormat="1" ht="11.25" x14ac:dyDescent="0.2">
      <c r="A18" s="180"/>
      <c r="C18" s="451" t="str">
        <f>IF(C3="","poražený z utkání 1/8-1",IF(C3=A3,A4,A3))</f>
        <v>vítěz skupiny 3A</v>
      </c>
      <c r="D18" s="452"/>
      <c r="E18" s="453" t="str">
        <f>'4-zapasy'!K30</f>
        <v>vítěz utkání 5/8-1</v>
      </c>
      <c r="F18" s="448"/>
      <c r="G18" s="180"/>
      <c r="H18" s="180"/>
      <c r="I18" s="180"/>
    </row>
    <row r="19" spans="1:9" s="180" customFormat="1" ht="11.25" x14ac:dyDescent="0.2">
      <c r="C19" s="448" t="str">
        <f>IF(C6="","poražený z utkání 1/8-2",IF(C6=A6,A7,A6))</f>
        <v>druhý ze skupiny 3B</v>
      </c>
      <c r="D19" s="449"/>
      <c r="E19" s="179" t="str">
        <f>'4-zapasy'!R30</f>
        <v xml:space="preserve"> stůl č. 3</v>
      </c>
      <c r="F19" s="181" t="e">
        <f>'4-zapasy'!B30</f>
        <v>#REF!</v>
      </c>
      <c r="G19" s="447" t="str">
        <f>'4-zapasy'!K41</f>
        <v/>
      </c>
      <c r="H19" s="447"/>
      <c r="I19" s="184" t="s">
        <v>8</v>
      </c>
    </row>
    <row r="20" spans="1:9" s="180" customFormat="1" ht="11.25" x14ac:dyDescent="0.2">
      <c r="C20" s="179"/>
      <c r="D20" s="179"/>
      <c r="E20" s="179"/>
      <c r="G20" s="180" t="str">
        <f>'4-zapasy'!R41</f>
        <v xml:space="preserve"> stůl č. 6</v>
      </c>
      <c r="H20" s="181" t="e">
        <f>'4-zapasy'!B41</f>
        <v>#REF!</v>
      </c>
    </row>
    <row r="21" spans="1:9" s="180" customFormat="1" ht="11.25" x14ac:dyDescent="0.2">
      <c r="C21" s="451" t="str">
        <f>IF(C9="","poražený z utkání 1/8-3",IF(C9=A9,A10,A9))</f>
        <v>vítěz skupiny 3C</v>
      </c>
      <c r="D21" s="452"/>
      <c r="E21" s="453" t="str">
        <f>'4-zapasy'!K31</f>
        <v>vítěz utkání 5/8-2</v>
      </c>
      <c r="F21" s="448"/>
    </row>
    <row r="22" spans="1:9" s="180" customFormat="1" ht="11.25" x14ac:dyDescent="0.2">
      <c r="C22" s="448" t="str">
        <f>IF(C12="","poražený z utkání 1/8-4",IF(C12=A12,A13,A12))</f>
        <v>druhý ze skupiny 3D</v>
      </c>
      <c r="D22" s="449"/>
      <c r="E22" s="179" t="str">
        <f>'4-zapasy'!R31</f>
        <v xml:space="preserve"> stůl č. 4</v>
      </c>
      <c r="F22" s="181" t="e">
        <f>'4-zapasy'!B31</f>
        <v>#REF!</v>
      </c>
      <c r="G22" s="447" t="str">
        <f>IF(G19="","",IF(G19=E18,E21,E18))</f>
        <v/>
      </c>
      <c r="H22" s="447"/>
      <c r="I22" s="184" t="s">
        <v>14</v>
      </c>
    </row>
    <row r="23" spans="1:9" s="180" customFormat="1" ht="11.25" x14ac:dyDescent="0.2">
      <c r="E23" s="460" t="s">
        <v>155</v>
      </c>
      <c r="F23" s="460"/>
    </row>
    <row r="24" spans="1:9" s="180" customFormat="1" ht="11.25" x14ac:dyDescent="0.2">
      <c r="D24" s="185"/>
      <c r="E24" s="451" t="str">
        <f>IF(E18="","poražený z utkání 5/8-1",IF(E18=C18,C19,C18))</f>
        <v>vítěz skupiny 3A</v>
      </c>
      <c r="F24" s="452"/>
      <c r="G24" s="447" t="str">
        <f>'4-zapasy'!K40</f>
        <v/>
      </c>
      <c r="H24" s="447"/>
      <c r="I24" s="184" t="s">
        <v>9</v>
      </c>
    </row>
    <row r="25" spans="1:9" s="185" customFormat="1" ht="11.25" x14ac:dyDescent="0.2">
      <c r="A25" s="180"/>
      <c r="C25" s="180"/>
      <c r="D25" s="180"/>
      <c r="E25" s="448" t="str">
        <f>IF(E21="","poražený z utkání 5/8-2",IF(E21=C21,C22,C21))</f>
        <v>vítěz skupiny 3C</v>
      </c>
      <c r="F25" s="449"/>
      <c r="G25" s="180" t="str">
        <f>'4-zapasy'!R40</f>
        <v xml:space="preserve"> stůl č. 5</v>
      </c>
      <c r="H25" s="181" t="e">
        <f>'4-zapasy'!B40</f>
        <v>#REF!</v>
      </c>
      <c r="I25" s="180"/>
    </row>
    <row r="26" spans="1:9" s="180" customFormat="1" ht="11.25" x14ac:dyDescent="0.2">
      <c r="C26" s="186"/>
      <c r="D26" s="186"/>
      <c r="G26" s="447" t="str">
        <f>IF(G24="","",IF(G24=E24,E25,E24))</f>
        <v/>
      </c>
      <c r="H26" s="447"/>
      <c r="I26" s="184" t="s">
        <v>15</v>
      </c>
    </row>
    <row r="27" spans="1:9" s="187" customFormat="1" ht="11.25" x14ac:dyDescent="0.2">
      <c r="A27" s="454" t="s">
        <v>215</v>
      </c>
      <c r="B27" s="454"/>
      <c r="C27" s="454" t="s">
        <v>214</v>
      </c>
      <c r="D27" s="454"/>
      <c r="E27" s="454" t="s">
        <v>158</v>
      </c>
      <c r="F27" s="454"/>
      <c r="G27" s="180"/>
      <c r="H27" s="180"/>
      <c r="I27" s="180"/>
    </row>
    <row r="28" spans="1:9" s="186" customFormat="1" ht="11.25" x14ac:dyDescent="0.2">
      <c r="A28" s="451" t="str">
        <f>'4-zapasy'!D20</f>
        <v>třetí ze skupiny 3A</v>
      </c>
      <c r="B28" s="452"/>
      <c r="C28" s="450" t="str">
        <f>'4-zapasy'!K20</f>
        <v>vítěz utkání 9/16-1</v>
      </c>
      <c r="D28" s="447"/>
      <c r="E28" s="179"/>
      <c r="F28" s="180"/>
      <c r="G28" s="180"/>
      <c r="H28" s="180"/>
      <c r="I28" s="180"/>
    </row>
    <row r="29" spans="1:9" s="186" customFormat="1" ht="11.25" x14ac:dyDescent="0.2">
      <c r="A29" s="448" t="str">
        <f>'4-zapasy'!E20</f>
        <v>čtvrtý ze skupiny 3C</v>
      </c>
      <c r="B29" s="449"/>
      <c r="C29" s="180" t="str">
        <f>'4-zapasy'!R20</f>
        <v xml:space="preserve"> stůl č. 1</v>
      </c>
      <c r="D29" s="181" t="e">
        <f>'4-zapasy'!B20</f>
        <v>#REF!</v>
      </c>
      <c r="E29" s="448" t="str">
        <f>'4-zapasy'!K32</f>
        <v>vítěz utkání 9/12-1</v>
      </c>
      <c r="F29" s="448"/>
      <c r="G29" s="180"/>
      <c r="H29" s="180"/>
      <c r="I29" s="180"/>
    </row>
    <row r="30" spans="1:9" s="186" customFormat="1" ht="11.25" x14ac:dyDescent="0.2">
      <c r="C30" s="180"/>
      <c r="D30" s="182"/>
      <c r="E30" s="179" t="str">
        <f>'4-zapasy'!R32</f>
        <v xml:space="preserve"> stůl č. 5</v>
      </c>
      <c r="F30" s="181" t="e">
        <f>'4-zapasy'!B32</f>
        <v>#REF!</v>
      </c>
      <c r="G30" s="180"/>
      <c r="H30" s="180"/>
      <c r="I30" s="180"/>
    </row>
    <row r="31" spans="1:9" s="186" customFormat="1" ht="11.25" x14ac:dyDescent="0.2">
      <c r="A31" s="451" t="str">
        <f>'4-zapasy'!D21</f>
        <v>čtvrtý ze skupiny 3B</v>
      </c>
      <c r="B31" s="452"/>
      <c r="C31" s="450" t="str">
        <f>'4-zapasy'!K21</f>
        <v>vítěz utkání 9/16-2</v>
      </c>
      <c r="D31" s="447"/>
      <c r="E31" s="179"/>
      <c r="F31" s="180"/>
    </row>
    <row r="32" spans="1:9" s="186" customFormat="1" ht="11.25" x14ac:dyDescent="0.2">
      <c r="A32" s="448" t="str">
        <f>'4-zapasy'!E21</f>
        <v>třetí ze skupiny 3D</v>
      </c>
      <c r="B32" s="449"/>
      <c r="C32" s="180" t="str">
        <f>'4-zapasy'!R21</f>
        <v xml:space="preserve"> stůl č. 2</v>
      </c>
      <c r="D32" s="181" t="e">
        <f>'4-zapasy'!B21</f>
        <v>#REF!</v>
      </c>
      <c r="E32" s="179"/>
      <c r="F32" s="180"/>
      <c r="G32" s="447" t="str">
        <f>'4-zapasy'!K39</f>
        <v/>
      </c>
      <c r="H32" s="447"/>
      <c r="I32" s="184" t="s">
        <v>0</v>
      </c>
    </row>
    <row r="33" spans="1:9" s="186" customFormat="1" ht="11.25" x14ac:dyDescent="0.2">
      <c r="C33" s="180"/>
      <c r="D33" s="182"/>
      <c r="E33" s="179"/>
      <c r="F33" s="180"/>
      <c r="G33" s="180" t="str">
        <f>'4-zapasy'!R39</f>
        <v xml:space="preserve"> stůl č. 4</v>
      </c>
      <c r="H33" s="181" t="e">
        <f>'4-zapasy'!B39</f>
        <v>#REF!</v>
      </c>
      <c r="I33" s="180"/>
    </row>
    <row r="34" spans="1:9" s="186" customFormat="1" ht="11.25" x14ac:dyDescent="0.2">
      <c r="A34" s="451" t="str">
        <f>'4-zapasy'!D22</f>
        <v>třetí ze skupiny 3C</v>
      </c>
      <c r="B34" s="452"/>
      <c r="C34" s="450" t="str">
        <f>'4-zapasy'!K22</f>
        <v>vítěz utkání 9/16-3</v>
      </c>
      <c r="D34" s="447"/>
      <c r="E34" s="179"/>
      <c r="F34" s="180"/>
      <c r="G34" s="180"/>
      <c r="H34" s="180"/>
      <c r="I34" s="180"/>
    </row>
    <row r="35" spans="1:9" s="186" customFormat="1" ht="11.25" x14ac:dyDescent="0.2">
      <c r="A35" s="448" t="str">
        <f>'4-zapasy'!E22</f>
        <v>čtvrtý ze skupiny 3A</v>
      </c>
      <c r="B35" s="449"/>
      <c r="C35" s="180" t="str">
        <f>'4-zapasy'!R22</f>
        <v xml:space="preserve"> stůl č. 3</v>
      </c>
      <c r="D35" s="181" t="e">
        <f>'4-zapasy'!B22</f>
        <v>#REF!</v>
      </c>
      <c r="E35" s="448" t="str">
        <f>'4-zapasy'!K33</f>
        <v>vítěz utkání 9/12-2</v>
      </c>
      <c r="F35" s="448"/>
      <c r="G35" s="180"/>
      <c r="H35" s="180"/>
      <c r="I35" s="180"/>
    </row>
    <row r="36" spans="1:9" s="186" customFormat="1" ht="11.25" x14ac:dyDescent="0.2">
      <c r="C36" s="180"/>
      <c r="D36" s="182"/>
      <c r="E36" s="179" t="str">
        <f>'4-zapasy'!R33</f>
        <v xml:space="preserve"> stůl č. 6</v>
      </c>
      <c r="F36" s="181" t="e">
        <f>'4-zapasy'!B33</f>
        <v>#REF!</v>
      </c>
      <c r="G36" s="180"/>
      <c r="H36" s="180"/>
      <c r="I36" s="180"/>
    </row>
    <row r="37" spans="1:9" s="186" customFormat="1" ht="11.25" x14ac:dyDescent="0.2">
      <c r="A37" s="451" t="str">
        <f>'4-zapasy'!D23</f>
        <v>čtvrtý ze skupiny 3D</v>
      </c>
      <c r="B37" s="452"/>
      <c r="C37" s="450" t="str">
        <f>'4-zapasy'!K23</f>
        <v>vítěz utkání 9/16-4</v>
      </c>
      <c r="D37" s="447"/>
      <c r="E37" s="179"/>
      <c r="F37" s="180"/>
      <c r="G37" s="447" t="str">
        <f>IF(G32="","",IF(G32=E29,E35,E29))</f>
        <v/>
      </c>
      <c r="H37" s="447"/>
      <c r="I37" s="184" t="s">
        <v>2</v>
      </c>
    </row>
    <row r="38" spans="1:9" s="186" customFormat="1" ht="11.25" x14ac:dyDescent="0.2">
      <c r="A38" s="448" t="str">
        <f>'4-zapasy'!E23</f>
        <v>třetí ze skupiny 3B</v>
      </c>
      <c r="B38" s="449"/>
      <c r="C38" s="180" t="str">
        <f>'4-zapasy'!R23</f>
        <v xml:space="preserve"> stůl č. 4</v>
      </c>
      <c r="D38" s="181" t="e">
        <f>'4-zapasy'!B23</f>
        <v>#REF!</v>
      </c>
      <c r="E38" s="188"/>
      <c r="G38" s="189"/>
      <c r="H38" s="189"/>
      <c r="I38" s="180"/>
    </row>
    <row r="39" spans="1:9" s="186" customFormat="1" ht="11.25" x14ac:dyDescent="0.2">
      <c r="A39" s="190"/>
      <c r="B39" s="190"/>
      <c r="C39" s="454" t="s">
        <v>218</v>
      </c>
      <c r="D39" s="454"/>
      <c r="E39" s="451" t="str">
        <f>IF(E29="","poražený z utkání 9/12-1",IF(E29=C28,C31,C28))</f>
        <v>vítěz utkání 9/16-1</v>
      </c>
      <c r="F39" s="452"/>
      <c r="G39" s="447" t="str">
        <f>'4-zapasy'!K38</f>
        <v/>
      </c>
      <c r="H39" s="447"/>
      <c r="I39" s="184" t="s">
        <v>4</v>
      </c>
    </row>
    <row r="40" spans="1:9" s="187" customFormat="1" ht="11.25" x14ac:dyDescent="0.2">
      <c r="A40" s="186"/>
      <c r="C40" s="454"/>
      <c r="D40" s="454"/>
      <c r="E40" s="448" t="str">
        <f>IF(E35="","poražený z utkání 9/12-2",IF(E35=C34,C37,C34))</f>
        <v>vítěz utkání 9/16-3</v>
      </c>
      <c r="F40" s="449"/>
      <c r="G40" s="180" t="str">
        <f>'4-zapasy'!R38</f>
        <v xml:space="preserve"> stůl č. 3</v>
      </c>
      <c r="H40" s="181" t="e">
        <f>'4-zapasy'!B38</f>
        <v>#REF!</v>
      </c>
      <c r="I40" s="180"/>
    </row>
    <row r="41" spans="1:9" s="180" customFormat="1" ht="11.25" x14ac:dyDescent="0.2">
      <c r="A41" s="186"/>
      <c r="B41" s="186"/>
      <c r="E41" s="179"/>
      <c r="G41" s="447" t="str">
        <f>IF(G39="","",IF(G39=E39,E40,E39))</f>
        <v/>
      </c>
      <c r="H41" s="447"/>
      <c r="I41" s="184" t="s">
        <v>10</v>
      </c>
    </row>
    <row r="42" spans="1:9" s="180" customFormat="1" ht="11.25" x14ac:dyDescent="0.2">
      <c r="C42" s="191" t="s">
        <v>216</v>
      </c>
      <c r="D42" s="191"/>
      <c r="E42" s="454" t="s">
        <v>156</v>
      </c>
      <c r="F42" s="454"/>
    </row>
    <row r="43" spans="1:9" s="187" customFormat="1" ht="11.25" x14ac:dyDescent="0.2">
      <c r="A43" s="190"/>
      <c r="B43" s="192"/>
      <c r="C43" s="457" t="str">
        <f>IF(C28="","poražený z utkání 9/16-1",IF(C28=A28,A29,A28))</f>
        <v>třetí ze skupiny 3A</v>
      </c>
      <c r="D43" s="458"/>
      <c r="E43" s="453" t="str">
        <f>'4-zapasy'!K28</f>
        <v>vítěz utkání 13/16-1</v>
      </c>
      <c r="F43" s="448"/>
      <c r="G43" s="180"/>
      <c r="H43" s="180"/>
      <c r="I43" s="180"/>
    </row>
    <row r="44" spans="1:9" s="180" customFormat="1" ht="11.25" x14ac:dyDescent="0.2">
      <c r="C44" s="447" t="str">
        <f>IF(C31="","poražený z utkání 9/16-2",IF(C31=A31,A32,A31))</f>
        <v>čtvrtý ze skupiny 3B</v>
      </c>
      <c r="D44" s="459"/>
      <c r="E44" s="179" t="str">
        <f>'4-zapasy'!R28</f>
        <v xml:space="preserve"> stůl č. 1</v>
      </c>
      <c r="F44" s="181" t="e">
        <f>'4-zapasy'!B28</f>
        <v>#REF!</v>
      </c>
      <c r="G44" s="447" t="str">
        <f>'4-zapasy'!K37</f>
        <v/>
      </c>
      <c r="H44" s="447"/>
      <c r="I44" s="184" t="s">
        <v>6</v>
      </c>
    </row>
    <row r="45" spans="1:9" s="180" customFormat="1" ht="11.25" x14ac:dyDescent="0.2">
      <c r="E45" s="179"/>
      <c r="G45" s="180" t="str">
        <f>'4-zapasy'!R37</f>
        <v xml:space="preserve"> stůl č. 2</v>
      </c>
      <c r="H45" s="181" t="e">
        <f>'4-zapasy'!B37</f>
        <v>#REF!</v>
      </c>
    </row>
    <row r="46" spans="1:9" s="180" customFormat="1" ht="11.25" x14ac:dyDescent="0.2">
      <c r="C46" s="457" t="str">
        <f>IF(C34="","poražený z utkání 9/16-3",IF(C34=A34,A35,A34))</f>
        <v>třetí ze skupiny 3C</v>
      </c>
      <c r="D46" s="458"/>
      <c r="E46" s="453" t="str">
        <f>'4-zapasy'!K29</f>
        <v>vítěz utkání 13/16-2</v>
      </c>
      <c r="F46" s="448"/>
    </row>
    <row r="47" spans="1:9" s="180" customFormat="1" ht="11.25" x14ac:dyDescent="0.2">
      <c r="C47" s="447" t="str">
        <f>IF(C37="","poražený z utkání 9/16-4",IF(C37=A37,A38,A37))</f>
        <v>čtvrtý ze skupiny 3D</v>
      </c>
      <c r="D47" s="459"/>
      <c r="E47" s="179" t="str">
        <f>'4-zapasy'!R29</f>
        <v xml:space="preserve"> stůl č. 2</v>
      </c>
      <c r="F47" s="181" t="e">
        <f>'4-zapasy'!B29</f>
        <v>#REF!</v>
      </c>
      <c r="G47" s="447" t="str">
        <f>IF(G44="","",IF(G44=E43,E46,E43))</f>
        <v/>
      </c>
      <c r="H47" s="447"/>
      <c r="I47" s="184" t="s">
        <v>12</v>
      </c>
    </row>
    <row r="48" spans="1:9" s="180" customFormat="1" ht="11.25" x14ac:dyDescent="0.2">
      <c r="E48" s="193" t="s">
        <v>157</v>
      </c>
      <c r="F48" s="193"/>
    </row>
    <row r="49" spans="1:9" s="180" customFormat="1" ht="11.25" x14ac:dyDescent="0.2">
      <c r="D49" s="185"/>
      <c r="E49" s="451" t="str">
        <f>IF(E43="","poražený z utkání 13/16-1",IF(E43=C43,C44,C43))</f>
        <v>třetí ze skupiny 3A</v>
      </c>
      <c r="F49" s="452"/>
      <c r="G49" s="447" t="str">
        <f>'4-zapasy'!K36</f>
        <v/>
      </c>
      <c r="H49" s="447"/>
      <c r="I49" s="184" t="s">
        <v>7</v>
      </c>
    </row>
    <row r="50" spans="1:9" s="185" customFormat="1" ht="11.25" x14ac:dyDescent="0.2">
      <c r="A50" s="180"/>
      <c r="C50" s="180"/>
      <c r="D50" s="180"/>
      <c r="E50" s="448" t="str">
        <f>IF(E46="","poražený z utkání 13/16-2",IF(E46=C46,C47,C46))</f>
        <v>třetí ze skupiny 3C</v>
      </c>
      <c r="F50" s="449"/>
      <c r="G50" s="180" t="str">
        <f>'4-zapasy'!R36</f>
        <v xml:space="preserve"> stůl č. 1</v>
      </c>
      <c r="H50" s="181" t="e">
        <f>'4-zapasy'!B36</f>
        <v>#REF!</v>
      </c>
      <c r="I50" s="180"/>
    </row>
    <row r="51" spans="1:9" s="180" customFormat="1" ht="11.25" x14ac:dyDescent="0.2">
      <c r="E51" s="179"/>
      <c r="G51" s="455" t="str">
        <f>IF(G49="","",IF(G49=E49,E50,E49))</f>
        <v/>
      </c>
      <c r="H51" s="455"/>
      <c r="I51" s="184" t="s">
        <v>13</v>
      </c>
    </row>
    <row r="52" spans="1:9" s="175" customFormat="1" x14ac:dyDescent="0.2">
      <c r="E52" s="174"/>
      <c r="G52" s="1"/>
      <c r="H52" s="1"/>
      <c r="I52" s="1"/>
    </row>
    <row r="53" spans="1:9" s="175" customFormat="1" x14ac:dyDescent="0.2">
      <c r="E53" s="174"/>
      <c r="F53" s="1"/>
      <c r="G53" s="1"/>
      <c r="H53" s="1"/>
      <c r="I53" s="1"/>
    </row>
    <row r="54" spans="1:9" s="175" customFormat="1" x14ac:dyDescent="0.2">
      <c r="C54" s="176"/>
      <c r="D54" s="177"/>
      <c r="E54" s="174"/>
      <c r="F54" s="1"/>
      <c r="G54" s="1"/>
      <c r="H54" s="1"/>
      <c r="I54" s="1"/>
    </row>
  </sheetData>
  <mergeCells count="77">
    <mergeCell ref="A38:B38"/>
    <mergeCell ref="A29:B29"/>
    <mergeCell ref="A31:B31"/>
    <mergeCell ref="A32:B32"/>
    <mergeCell ref="A34:B34"/>
    <mergeCell ref="A35:B35"/>
    <mergeCell ref="G2:I2"/>
    <mergeCell ref="A27:B27"/>
    <mergeCell ref="E27:F27"/>
    <mergeCell ref="E29:F29"/>
    <mergeCell ref="E23:F23"/>
    <mergeCell ref="E4:F4"/>
    <mergeCell ref="E14:F14"/>
    <mergeCell ref="E15:F15"/>
    <mergeCell ref="E18:F18"/>
    <mergeCell ref="A4:B4"/>
    <mergeCell ref="A7:B7"/>
    <mergeCell ref="C6:D6"/>
    <mergeCell ref="A13:B13"/>
    <mergeCell ref="E2:F2"/>
    <mergeCell ref="C2:D2"/>
    <mergeCell ref="A9:B9"/>
    <mergeCell ref="E35:F35"/>
    <mergeCell ref="C39:D40"/>
    <mergeCell ref="A2:B2"/>
    <mergeCell ref="C3:D3"/>
    <mergeCell ref="A3:B3"/>
    <mergeCell ref="C34:D34"/>
    <mergeCell ref="C27:D27"/>
    <mergeCell ref="C18:D18"/>
    <mergeCell ref="C19:D19"/>
    <mergeCell ref="C17:D17"/>
    <mergeCell ref="C9:D9"/>
    <mergeCell ref="A28:B28"/>
    <mergeCell ref="A10:B10"/>
    <mergeCell ref="C12:D12"/>
    <mergeCell ref="A6:B6"/>
    <mergeCell ref="A37:B37"/>
    <mergeCell ref="E49:F49"/>
    <mergeCell ref="E50:F50"/>
    <mergeCell ref="C37:D37"/>
    <mergeCell ref="C43:D43"/>
    <mergeCell ref="C44:D44"/>
    <mergeCell ref="C46:D46"/>
    <mergeCell ref="C47:D47"/>
    <mergeCell ref="E46:F46"/>
    <mergeCell ref="E39:F39"/>
    <mergeCell ref="E40:F40"/>
    <mergeCell ref="E43:F43"/>
    <mergeCell ref="E42:F42"/>
    <mergeCell ref="G7:H7"/>
    <mergeCell ref="G12:H12"/>
    <mergeCell ref="G14:H14"/>
    <mergeCell ref="G16:H16"/>
    <mergeCell ref="G19:H19"/>
    <mergeCell ref="G51:H51"/>
    <mergeCell ref="G49:H49"/>
    <mergeCell ref="G47:H47"/>
    <mergeCell ref="G44:H44"/>
    <mergeCell ref="G26:H26"/>
    <mergeCell ref="G32:H32"/>
    <mergeCell ref="G41:H41"/>
    <mergeCell ref="G39:H39"/>
    <mergeCell ref="G37:H37"/>
    <mergeCell ref="A12:B12"/>
    <mergeCell ref="C21:D21"/>
    <mergeCell ref="E21:F21"/>
    <mergeCell ref="C14:D15"/>
    <mergeCell ref="E17:F17"/>
    <mergeCell ref="G24:H24"/>
    <mergeCell ref="C22:D22"/>
    <mergeCell ref="C28:D28"/>
    <mergeCell ref="C31:D31"/>
    <mergeCell ref="E10:F10"/>
    <mergeCell ref="G22:H22"/>
    <mergeCell ref="E24:F24"/>
    <mergeCell ref="E25:F25"/>
  </mergeCells>
  <printOptions horizontalCentered="1"/>
  <pageMargins left="0.39370078740157483" right="0.39370078740157483" top="0.19685039370078741" bottom="0.19685039370078741" header="0.51181102362204722" footer="0.51181102362204722"/>
  <pageSetup paperSize="9"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8"/>
  <dimension ref="A1:R95"/>
  <sheetViews>
    <sheetView showGridLines="0" view="pageBreakPreview" zoomScaleNormal="100" workbookViewId="0">
      <selection activeCell="D4" sqref="D4"/>
    </sheetView>
  </sheetViews>
  <sheetFormatPr defaultRowHeight="12.75" x14ac:dyDescent="0.2"/>
  <cols>
    <col min="1" max="1" width="5.42578125" style="102" customWidth="1"/>
    <col min="2" max="2" width="5.5703125" style="102" customWidth="1"/>
    <col min="3" max="3" width="7.42578125" style="111" customWidth="1"/>
    <col min="4" max="5" width="27.140625" style="89" customWidth="1"/>
    <col min="6" max="8" width="5.7109375" style="90" customWidth="1"/>
    <col min="9" max="9" width="8.140625" style="88" customWidth="1"/>
    <col min="10" max="10" width="5.42578125" style="106" customWidth="1"/>
    <col min="11" max="11" width="5.5703125" style="106" customWidth="1"/>
    <col min="12" max="12" width="7.42578125" style="106" customWidth="1"/>
    <col min="13" max="13" width="25.42578125" style="90" customWidth="1"/>
    <col min="14" max="14" width="27.140625" style="90" customWidth="1"/>
    <col min="15" max="17" width="5.7109375" style="90" customWidth="1"/>
    <col min="18" max="18" width="8.140625" style="88" customWidth="1"/>
    <col min="19" max="16384" width="9.140625" style="90"/>
  </cols>
  <sheetData>
    <row r="1" spans="1:9" ht="12" customHeight="1" x14ac:dyDescent="0.2">
      <c r="A1" s="103" t="s">
        <v>160</v>
      </c>
      <c r="B1" s="100" t="s">
        <v>60</v>
      </c>
      <c r="C1" s="110" t="s">
        <v>159</v>
      </c>
      <c r="D1" s="94" t="s">
        <v>96</v>
      </c>
      <c r="E1" s="94" t="s">
        <v>97</v>
      </c>
      <c r="F1" s="93" t="s">
        <v>162</v>
      </c>
      <c r="G1" s="93" t="s">
        <v>163</v>
      </c>
      <c r="H1" s="93" t="s">
        <v>164</v>
      </c>
      <c r="I1" s="95" t="s">
        <v>161</v>
      </c>
    </row>
    <row r="2" spans="1:9" ht="24.95" customHeight="1" x14ac:dyDescent="0.2">
      <c r="A2" s="104" t="e">
        <f>'4-zapasy'!B20</f>
        <v>#REF!</v>
      </c>
      <c r="B2" s="108">
        <f>'4-zapasy'!C20</f>
        <v>1</v>
      </c>
      <c r="C2" s="108" t="str">
        <f>'4-zapasy'!A20</f>
        <v>9/16-1</v>
      </c>
      <c r="D2" s="109" t="str">
        <f>'4-zapasy'!D20</f>
        <v>třetí ze skupiny 3A</v>
      </c>
      <c r="E2" s="109" t="str">
        <f>'4-zapasy'!E20</f>
        <v>čtvrtý ze skupiny 3C</v>
      </c>
      <c r="F2" s="96"/>
      <c r="G2" s="96"/>
      <c r="H2" s="96"/>
      <c r="I2" s="97"/>
    </row>
    <row r="3" spans="1:9" ht="23.25" customHeight="1" thickBot="1" x14ac:dyDescent="0.25">
      <c r="A3" s="461" t="s">
        <v>165</v>
      </c>
      <c r="B3" s="462"/>
      <c r="C3" s="462"/>
      <c r="D3" s="98" t="str">
        <f>'4-zapasy'!D26</f>
        <v>vítěz skupiny 3C</v>
      </c>
      <c r="E3" s="92" t="s">
        <v>166</v>
      </c>
      <c r="F3" s="442"/>
      <c r="G3" s="442"/>
      <c r="H3" s="442"/>
      <c r="I3" s="443"/>
    </row>
    <row r="4" spans="1:9" ht="12" customHeight="1" thickBot="1" x14ac:dyDescent="0.25">
      <c r="A4" s="105"/>
    </row>
    <row r="5" spans="1:9" ht="12" customHeight="1" x14ac:dyDescent="0.2">
      <c r="A5" s="103" t="s">
        <v>160</v>
      </c>
      <c r="B5" s="100" t="s">
        <v>60</v>
      </c>
      <c r="C5" s="110" t="s">
        <v>159</v>
      </c>
      <c r="D5" s="94" t="s">
        <v>96</v>
      </c>
      <c r="E5" s="94" t="s">
        <v>97</v>
      </c>
      <c r="F5" s="93" t="s">
        <v>162</v>
      </c>
      <c r="G5" s="93" t="s">
        <v>163</v>
      </c>
      <c r="H5" s="93" t="s">
        <v>164</v>
      </c>
      <c r="I5" s="95" t="s">
        <v>161</v>
      </c>
    </row>
    <row r="6" spans="1:9" ht="24.95" customHeight="1" x14ac:dyDescent="0.2">
      <c r="A6" s="104" t="e">
        <f>'4-zapasy'!B21</f>
        <v>#REF!</v>
      </c>
      <c r="B6" s="108">
        <f>'4-zapasy'!C21</f>
        <v>2</v>
      </c>
      <c r="C6" s="108" t="str">
        <f>'4-zapasy'!A21</f>
        <v>9/16-2</v>
      </c>
      <c r="D6" s="109" t="str">
        <f>'4-zapasy'!D21</f>
        <v>čtvrtý ze skupiny 3B</v>
      </c>
      <c r="E6" s="109" t="str">
        <f>'4-zapasy'!E21</f>
        <v>třetí ze skupiny 3D</v>
      </c>
      <c r="F6" s="96"/>
      <c r="G6" s="96"/>
      <c r="H6" s="96"/>
      <c r="I6" s="97"/>
    </row>
    <row r="7" spans="1:9" ht="23.25" customHeight="1" thickBot="1" x14ac:dyDescent="0.25">
      <c r="A7" s="461" t="s">
        <v>165</v>
      </c>
      <c r="B7" s="462"/>
      <c r="C7" s="462"/>
      <c r="D7" s="98" t="str">
        <f>'4-zapasy'!D27</f>
        <v>druhý ze skupiny 3D</v>
      </c>
      <c r="E7" s="92" t="s">
        <v>166</v>
      </c>
      <c r="F7" s="442"/>
      <c r="G7" s="442"/>
      <c r="H7" s="442"/>
      <c r="I7" s="443"/>
    </row>
    <row r="8" spans="1:9" ht="12" customHeight="1" thickBot="1" x14ac:dyDescent="0.25">
      <c r="A8" s="105"/>
    </row>
    <row r="9" spans="1:9" ht="12" customHeight="1" x14ac:dyDescent="0.2">
      <c r="A9" s="103" t="s">
        <v>160</v>
      </c>
      <c r="B9" s="100" t="s">
        <v>60</v>
      </c>
      <c r="C9" s="110" t="s">
        <v>159</v>
      </c>
      <c r="D9" s="94" t="s">
        <v>96</v>
      </c>
      <c r="E9" s="94" t="s">
        <v>97</v>
      </c>
      <c r="F9" s="93" t="s">
        <v>162</v>
      </c>
      <c r="G9" s="93" t="s">
        <v>163</v>
      </c>
      <c r="H9" s="93" t="s">
        <v>164</v>
      </c>
      <c r="I9" s="95" t="s">
        <v>161</v>
      </c>
    </row>
    <row r="10" spans="1:9" ht="24.95" customHeight="1" x14ac:dyDescent="0.2">
      <c r="A10" s="104" t="e">
        <f>'4-zapasy'!B22</f>
        <v>#REF!</v>
      </c>
      <c r="B10" s="108">
        <f>'4-zapasy'!C22</f>
        <v>3</v>
      </c>
      <c r="C10" s="108" t="str">
        <f>'4-zapasy'!A22</f>
        <v>9/16-3</v>
      </c>
      <c r="D10" s="109" t="str">
        <f>'4-zapasy'!D22</f>
        <v>třetí ze skupiny 3C</v>
      </c>
      <c r="E10" s="109" t="str">
        <f>'4-zapasy'!E22</f>
        <v>čtvrtý ze skupiny 3A</v>
      </c>
      <c r="F10" s="96"/>
      <c r="G10" s="96"/>
      <c r="H10" s="96"/>
      <c r="I10" s="97"/>
    </row>
    <row r="11" spans="1:9" ht="23.25" customHeight="1" thickBot="1" x14ac:dyDescent="0.25">
      <c r="A11" s="461" t="s">
        <v>165</v>
      </c>
      <c r="B11" s="462"/>
      <c r="C11" s="462"/>
      <c r="D11" s="98"/>
      <c r="E11" s="92" t="s">
        <v>166</v>
      </c>
      <c r="F11" s="442"/>
      <c r="G11" s="442"/>
      <c r="H11" s="442"/>
      <c r="I11" s="443"/>
    </row>
    <row r="12" spans="1:9" s="91" customFormat="1" ht="13.5" thickBot="1" x14ac:dyDescent="0.25">
      <c r="A12" s="105"/>
      <c r="B12" s="102"/>
      <c r="C12" s="111"/>
      <c r="D12" s="89"/>
      <c r="E12" s="89"/>
      <c r="F12" s="90"/>
      <c r="G12" s="90"/>
      <c r="H12" s="90"/>
      <c r="I12" s="88"/>
    </row>
    <row r="13" spans="1:9" ht="12" customHeight="1" x14ac:dyDescent="0.2">
      <c r="A13" s="103" t="s">
        <v>160</v>
      </c>
      <c r="B13" s="100" t="s">
        <v>60</v>
      </c>
      <c r="C13" s="110" t="s">
        <v>159</v>
      </c>
      <c r="D13" s="94" t="s">
        <v>96</v>
      </c>
      <c r="E13" s="94" t="s">
        <v>97</v>
      </c>
      <c r="F13" s="93" t="s">
        <v>162</v>
      </c>
      <c r="G13" s="93" t="s">
        <v>163</v>
      </c>
      <c r="H13" s="93" t="s">
        <v>164</v>
      </c>
      <c r="I13" s="95" t="s">
        <v>161</v>
      </c>
    </row>
    <row r="14" spans="1:9" ht="24.95" customHeight="1" x14ac:dyDescent="0.2">
      <c r="A14" s="104" t="e">
        <f>'4-zapasy'!B23</f>
        <v>#REF!</v>
      </c>
      <c r="B14" s="108">
        <f>'4-zapasy'!C23</f>
        <v>4</v>
      </c>
      <c r="C14" s="107" t="str">
        <f>'4-zapasy'!A23</f>
        <v>9/16-4</v>
      </c>
      <c r="D14" s="109" t="str">
        <f>'4-zapasy'!D23</f>
        <v>čtvrtý ze skupiny 3D</v>
      </c>
      <c r="E14" s="109" t="str">
        <f>'4-zapasy'!E23</f>
        <v>třetí ze skupiny 3B</v>
      </c>
      <c r="F14" s="96"/>
      <c r="G14" s="96"/>
      <c r="H14" s="96"/>
      <c r="I14" s="97"/>
    </row>
    <row r="15" spans="1:9" ht="23.25" customHeight="1" thickBot="1" x14ac:dyDescent="0.25">
      <c r="A15" s="461" t="s">
        <v>165</v>
      </c>
      <c r="B15" s="462"/>
      <c r="C15" s="462"/>
      <c r="D15" s="98"/>
      <c r="E15" s="92" t="s">
        <v>166</v>
      </c>
      <c r="F15" s="442"/>
      <c r="G15" s="442"/>
      <c r="H15" s="442"/>
      <c r="I15" s="443"/>
    </row>
    <row r="16" spans="1:9" ht="12" customHeight="1" thickBot="1" x14ac:dyDescent="0.25">
      <c r="A16" s="105"/>
    </row>
    <row r="17" spans="1:9" ht="12" customHeight="1" x14ac:dyDescent="0.2">
      <c r="A17" s="103" t="s">
        <v>160</v>
      </c>
      <c r="B17" s="100" t="s">
        <v>60</v>
      </c>
      <c r="C17" s="110" t="s">
        <v>159</v>
      </c>
      <c r="D17" s="94" t="s">
        <v>96</v>
      </c>
      <c r="E17" s="94" t="s">
        <v>97</v>
      </c>
      <c r="F17" s="93" t="s">
        <v>162</v>
      </c>
      <c r="G17" s="93" t="s">
        <v>163</v>
      </c>
      <c r="H17" s="93" t="s">
        <v>164</v>
      </c>
      <c r="I17" s="95" t="s">
        <v>161</v>
      </c>
    </row>
    <row r="18" spans="1:9" ht="24.95" customHeight="1" x14ac:dyDescent="0.2">
      <c r="A18" s="104" t="e">
        <f>'4-zapasy'!B24</f>
        <v>#REF!</v>
      </c>
      <c r="B18" s="108">
        <f>'4-zapasy'!C24</f>
        <v>5</v>
      </c>
      <c r="C18" s="107" t="str">
        <f>'4-zapasy'!A24</f>
        <v>1/8-1</v>
      </c>
      <c r="D18" s="109" t="str">
        <f>'4-zapasy'!D24</f>
        <v>vítěz skupiny 3A</v>
      </c>
      <c r="E18" s="109" t="str">
        <f>'4-zapasy'!E24</f>
        <v>druhý ze skupiny 3C</v>
      </c>
      <c r="F18" s="96"/>
      <c r="G18" s="96"/>
      <c r="H18" s="96"/>
      <c r="I18" s="97"/>
    </row>
    <row r="19" spans="1:9" ht="23.25" customHeight="1" thickBot="1" x14ac:dyDescent="0.25">
      <c r="A19" s="461" t="s">
        <v>165</v>
      </c>
      <c r="B19" s="462"/>
      <c r="C19" s="462"/>
      <c r="D19" s="98"/>
      <c r="E19" s="92" t="s">
        <v>166</v>
      </c>
      <c r="F19" s="442"/>
      <c r="G19" s="442"/>
      <c r="H19" s="442"/>
      <c r="I19" s="443"/>
    </row>
    <row r="20" spans="1:9" ht="12" customHeight="1" thickBot="1" x14ac:dyDescent="0.25">
      <c r="A20" s="105"/>
    </row>
    <row r="21" spans="1:9" ht="12" customHeight="1" x14ac:dyDescent="0.2">
      <c r="A21" s="103" t="s">
        <v>160</v>
      </c>
      <c r="B21" s="100" t="s">
        <v>60</v>
      </c>
      <c r="C21" s="110" t="s">
        <v>159</v>
      </c>
      <c r="D21" s="94" t="s">
        <v>96</v>
      </c>
      <c r="E21" s="94" t="s">
        <v>97</v>
      </c>
      <c r="F21" s="93" t="s">
        <v>162</v>
      </c>
      <c r="G21" s="93" t="s">
        <v>163</v>
      </c>
      <c r="H21" s="93" t="s">
        <v>164</v>
      </c>
      <c r="I21" s="95" t="s">
        <v>161</v>
      </c>
    </row>
    <row r="22" spans="1:9" ht="24.95" customHeight="1" x14ac:dyDescent="0.2">
      <c r="A22" s="104" t="e">
        <f>'4-zapasy'!B25</f>
        <v>#REF!</v>
      </c>
      <c r="B22" s="108">
        <f>'4-zapasy'!C25</f>
        <v>6</v>
      </c>
      <c r="C22" s="107" t="str">
        <f>'4-zapasy'!A25</f>
        <v>1/8-2</v>
      </c>
      <c r="D22" s="109" t="str">
        <f>'4-zapasy'!D25</f>
        <v>druhý ze skupiny 3B</v>
      </c>
      <c r="E22" s="109" t="str">
        <f>'4-zapasy'!E25</f>
        <v>vítěz skupiny 3D</v>
      </c>
      <c r="F22" s="96"/>
      <c r="G22" s="96"/>
      <c r="H22" s="96"/>
      <c r="I22" s="97"/>
    </row>
    <row r="23" spans="1:9" ht="23.25" customHeight="1" thickBot="1" x14ac:dyDescent="0.25">
      <c r="A23" s="461" t="s">
        <v>165</v>
      </c>
      <c r="B23" s="462"/>
      <c r="C23" s="462"/>
      <c r="D23" s="98"/>
      <c r="E23" s="92" t="s">
        <v>166</v>
      </c>
      <c r="F23" s="442"/>
      <c r="G23" s="442"/>
      <c r="H23" s="442"/>
      <c r="I23" s="443"/>
    </row>
    <row r="24" spans="1:9" ht="12" customHeight="1" thickBot="1" x14ac:dyDescent="0.25">
      <c r="A24" s="105"/>
    </row>
    <row r="25" spans="1:9" ht="12" customHeight="1" x14ac:dyDescent="0.2">
      <c r="A25" s="103" t="s">
        <v>160</v>
      </c>
      <c r="B25" s="100" t="s">
        <v>60</v>
      </c>
      <c r="C25" s="110" t="s">
        <v>159</v>
      </c>
      <c r="D25" s="94" t="s">
        <v>96</v>
      </c>
      <c r="E25" s="94" t="s">
        <v>97</v>
      </c>
      <c r="F25" s="93" t="s">
        <v>162</v>
      </c>
      <c r="G25" s="93" t="s">
        <v>163</v>
      </c>
      <c r="H25" s="93" t="s">
        <v>164</v>
      </c>
      <c r="I25" s="95" t="s">
        <v>161</v>
      </c>
    </row>
    <row r="26" spans="1:9" ht="24.95" customHeight="1" x14ac:dyDescent="0.2">
      <c r="A26" s="104" t="e">
        <f>'4-zapasy'!B26</f>
        <v>#REF!</v>
      </c>
      <c r="B26" s="108">
        <f>'4-zapasy'!C26</f>
        <v>7</v>
      </c>
      <c r="C26" s="107" t="str">
        <f>'4-zapasy'!A26</f>
        <v>1/8-3</v>
      </c>
      <c r="D26" s="109" t="str">
        <f>'4-zapasy'!D26</f>
        <v>vítěz skupiny 3C</v>
      </c>
      <c r="E26" s="109" t="str">
        <f>'4-zapasy'!E26</f>
        <v>druhý ze skupiny 3A</v>
      </c>
      <c r="F26" s="96"/>
      <c r="G26" s="96"/>
      <c r="H26" s="96"/>
      <c r="I26" s="97"/>
    </row>
    <row r="27" spans="1:9" ht="23.25" customHeight="1" thickBot="1" x14ac:dyDescent="0.25">
      <c r="A27" s="461" t="s">
        <v>165</v>
      </c>
      <c r="B27" s="462"/>
      <c r="C27" s="462"/>
      <c r="D27" s="98"/>
      <c r="E27" s="92" t="s">
        <v>166</v>
      </c>
      <c r="F27" s="442"/>
      <c r="G27" s="442"/>
      <c r="H27" s="442"/>
      <c r="I27" s="443"/>
    </row>
    <row r="28" spans="1:9" ht="13.5" thickBot="1" x14ac:dyDescent="0.25">
      <c r="A28" s="105"/>
    </row>
    <row r="29" spans="1:9" ht="12" customHeight="1" x14ac:dyDescent="0.2">
      <c r="A29" s="103" t="s">
        <v>160</v>
      </c>
      <c r="B29" s="100" t="s">
        <v>60</v>
      </c>
      <c r="C29" s="110" t="s">
        <v>159</v>
      </c>
      <c r="D29" s="94" t="s">
        <v>96</v>
      </c>
      <c r="E29" s="94" t="s">
        <v>97</v>
      </c>
      <c r="F29" s="93" t="s">
        <v>162</v>
      </c>
      <c r="G29" s="93" t="s">
        <v>163</v>
      </c>
      <c r="H29" s="93" t="s">
        <v>164</v>
      </c>
      <c r="I29" s="95" t="s">
        <v>161</v>
      </c>
    </row>
    <row r="30" spans="1:9" ht="24.95" customHeight="1" x14ac:dyDescent="0.2">
      <c r="A30" s="104" t="e">
        <f>'4-zapasy'!B27</f>
        <v>#REF!</v>
      </c>
      <c r="B30" s="108">
        <f>'4-zapasy'!C27</f>
        <v>8</v>
      </c>
      <c r="C30" s="107" t="str">
        <f>'4-zapasy'!A27</f>
        <v>1/8-4</v>
      </c>
      <c r="D30" s="109" t="str">
        <f>'4-zapasy'!D27</f>
        <v>druhý ze skupiny 3D</v>
      </c>
      <c r="E30" s="109" t="str">
        <f>'4-zapasy'!E27</f>
        <v>vítěz skupiny 3B</v>
      </c>
      <c r="F30" s="96"/>
      <c r="G30" s="96"/>
      <c r="H30" s="96"/>
      <c r="I30" s="97"/>
    </row>
    <row r="31" spans="1:9" ht="23.25" customHeight="1" thickBot="1" x14ac:dyDescent="0.25">
      <c r="A31" s="461" t="s">
        <v>165</v>
      </c>
      <c r="B31" s="462"/>
      <c r="C31" s="462"/>
      <c r="D31" s="98"/>
      <c r="E31" s="92" t="s">
        <v>166</v>
      </c>
      <c r="F31" s="442"/>
      <c r="G31" s="442"/>
      <c r="H31" s="442"/>
      <c r="I31" s="443"/>
    </row>
    <row r="32" spans="1:9" ht="12" customHeight="1" thickBot="1" x14ac:dyDescent="0.25">
      <c r="A32" s="105"/>
    </row>
    <row r="33" spans="1:9" ht="12" customHeight="1" x14ac:dyDescent="0.2">
      <c r="A33" s="103" t="s">
        <v>160</v>
      </c>
      <c r="B33" s="100" t="s">
        <v>60</v>
      </c>
      <c r="C33" s="110" t="s">
        <v>159</v>
      </c>
      <c r="D33" s="94" t="s">
        <v>96</v>
      </c>
      <c r="E33" s="94" t="s">
        <v>97</v>
      </c>
      <c r="F33" s="93" t="s">
        <v>162</v>
      </c>
      <c r="G33" s="93" t="s">
        <v>163</v>
      </c>
      <c r="H33" s="93" t="s">
        <v>164</v>
      </c>
      <c r="I33" s="95" t="s">
        <v>161</v>
      </c>
    </row>
    <row r="34" spans="1:9" ht="24.95" customHeight="1" x14ac:dyDescent="0.2">
      <c r="A34" s="104" t="e">
        <f>'4-zapasy'!B28</f>
        <v>#REF!</v>
      </c>
      <c r="B34" s="108">
        <f>'4-zapasy'!C28</f>
        <v>1</v>
      </c>
      <c r="C34" s="107" t="str">
        <f>'4-zapasy'!A28</f>
        <v>13/16-1</v>
      </c>
      <c r="D34" s="109" t="str">
        <f>'4-zapasy'!D28</f>
        <v>třetí ze skupiny 3A</v>
      </c>
      <c r="E34" s="109" t="str">
        <f>'4-zapasy'!E28</f>
        <v>čtvrtý ze skupiny 3B</v>
      </c>
      <c r="F34" s="96"/>
      <c r="G34" s="96"/>
      <c r="H34" s="96"/>
      <c r="I34" s="97"/>
    </row>
    <row r="35" spans="1:9" ht="23.25" customHeight="1" thickBot="1" x14ac:dyDescent="0.25">
      <c r="A35" s="461" t="s">
        <v>165</v>
      </c>
      <c r="B35" s="462"/>
      <c r="C35" s="462"/>
      <c r="D35" s="98"/>
      <c r="E35" s="92" t="s">
        <v>166</v>
      </c>
      <c r="F35" s="442"/>
      <c r="G35" s="442"/>
      <c r="H35" s="442"/>
      <c r="I35" s="443"/>
    </row>
    <row r="36" spans="1:9" ht="12" customHeight="1" thickBot="1" x14ac:dyDescent="0.25">
      <c r="A36" s="105"/>
    </row>
    <row r="37" spans="1:9" ht="12" customHeight="1" x14ac:dyDescent="0.2">
      <c r="A37" s="103" t="s">
        <v>160</v>
      </c>
      <c r="B37" s="100" t="s">
        <v>60</v>
      </c>
      <c r="C37" s="110" t="s">
        <v>159</v>
      </c>
      <c r="D37" s="94" t="s">
        <v>96</v>
      </c>
      <c r="E37" s="94" t="s">
        <v>97</v>
      </c>
      <c r="F37" s="93" t="s">
        <v>162</v>
      </c>
      <c r="G37" s="93" t="s">
        <v>163</v>
      </c>
      <c r="H37" s="93" t="s">
        <v>164</v>
      </c>
      <c r="I37" s="95" t="s">
        <v>161</v>
      </c>
    </row>
    <row r="38" spans="1:9" ht="24.95" customHeight="1" x14ac:dyDescent="0.2">
      <c r="A38" s="104" t="e">
        <f>'4-zapasy'!B29</f>
        <v>#REF!</v>
      </c>
      <c r="B38" s="108">
        <f>'4-zapasy'!C29</f>
        <v>2</v>
      </c>
      <c r="C38" s="107" t="str">
        <f>'4-zapasy'!A29</f>
        <v>13/16-2</v>
      </c>
      <c r="D38" s="109" t="str">
        <f>'4-zapasy'!D29</f>
        <v>třetí ze skupiny 3C</v>
      </c>
      <c r="E38" s="109" t="str">
        <f>'4-zapasy'!E29</f>
        <v>čtvrtý ze skupiny 3D</v>
      </c>
      <c r="F38" s="96"/>
      <c r="G38" s="96"/>
      <c r="H38" s="96"/>
      <c r="I38" s="97"/>
    </row>
    <row r="39" spans="1:9" ht="23.25" customHeight="1" thickBot="1" x14ac:dyDescent="0.25">
      <c r="A39" s="461" t="s">
        <v>165</v>
      </c>
      <c r="B39" s="462"/>
      <c r="C39" s="462"/>
      <c r="D39" s="98"/>
      <c r="E39" s="92" t="s">
        <v>166</v>
      </c>
      <c r="F39" s="442"/>
      <c r="G39" s="442"/>
      <c r="H39" s="442"/>
      <c r="I39" s="443"/>
    </row>
    <row r="40" spans="1:9" s="91" customFormat="1" ht="13.5" thickBot="1" x14ac:dyDescent="0.25">
      <c r="A40" s="105"/>
      <c r="B40" s="102"/>
      <c r="C40" s="111"/>
      <c r="D40" s="89"/>
      <c r="E40" s="89"/>
      <c r="F40" s="90"/>
      <c r="G40" s="90"/>
      <c r="H40" s="90"/>
      <c r="I40" s="88"/>
    </row>
    <row r="41" spans="1:9" ht="12" customHeight="1" x14ac:dyDescent="0.2">
      <c r="A41" s="103" t="s">
        <v>160</v>
      </c>
      <c r="B41" s="100" t="s">
        <v>60</v>
      </c>
      <c r="C41" s="110" t="s">
        <v>159</v>
      </c>
      <c r="D41" s="94" t="s">
        <v>96</v>
      </c>
      <c r="E41" s="94" t="s">
        <v>97</v>
      </c>
      <c r="F41" s="93" t="s">
        <v>162</v>
      </c>
      <c r="G41" s="93" t="s">
        <v>163</v>
      </c>
      <c r="H41" s="93" t="s">
        <v>164</v>
      </c>
      <c r="I41" s="95" t="s">
        <v>161</v>
      </c>
    </row>
    <row r="42" spans="1:9" ht="24.95" customHeight="1" x14ac:dyDescent="0.2">
      <c r="A42" s="104" t="e">
        <f>'4-zapasy'!B30</f>
        <v>#REF!</v>
      </c>
      <c r="B42" s="108">
        <f>'4-zapasy'!C30</f>
        <v>3</v>
      </c>
      <c r="C42" s="107" t="str">
        <f>'4-zapasy'!A30</f>
        <v>5/8-1</v>
      </c>
      <c r="D42" s="109" t="str">
        <f>'4-zapasy'!D30</f>
        <v>vítěz skupiny 3A</v>
      </c>
      <c r="E42" s="109" t="str">
        <f>'4-zapasy'!E30</f>
        <v>druhý ze skupiny 3B</v>
      </c>
      <c r="F42" s="96"/>
      <c r="G42" s="96"/>
      <c r="H42" s="96"/>
      <c r="I42" s="97"/>
    </row>
    <row r="43" spans="1:9" ht="23.25" customHeight="1" thickBot="1" x14ac:dyDescent="0.25">
      <c r="A43" s="461" t="s">
        <v>165</v>
      </c>
      <c r="B43" s="462"/>
      <c r="C43" s="462"/>
      <c r="D43" s="98"/>
      <c r="E43" s="92" t="s">
        <v>166</v>
      </c>
      <c r="F43" s="442"/>
      <c r="G43" s="442"/>
      <c r="H43" s="442"/>
      <c r="I43" s="443"/>
    </row>
    <row r="44" spans="1:9" ht="12" customHeight="1" thickBot="1" x14ac:dyDescent="0.25">
      <c r="A44" s="105"/>
    </row>
    <row r="45" spans="1:9" ht="12" customHeight="1" x14ac:dyDescent="0.2">
      <c r="A45" s="103" t="s">
        <v>160</v>
      </c>
      <c r="B45" s="100" t="s">
        <v>60</v>
      </c>
      <c r="C45" s="110" t="s">
        <v>159</v>
      </c>
      <c r="D45" s="94" t="s">
        <v>96</v>
      </c>
      <c r="E45" s="94" t="s">
        <v>97</v>
      </c>
      <c r="F45" s="93" t="s">
        <v>162</v>
      </c>
      <c r="G45" s="93" t="s">
        <v>163</v>
      </c>
      <c r="H45" s="93" t="s">
        <v>164</v>
      </c>
      <c r="I45" s="95" t="s">
        <v>161</v>
      </c>
    </row>
    <row r="46" spans="1:9" ht="24.95" customHeight="1" x14ac:dyDescent="0.2">
      <c r="A46" s="104" t="e">
        <f>'4-zapasy'!B31</f>
        <v>#REF!</v>
      </c>
      <c r="B46" s="108">
        <f>'4-zapasy'!C31</f>
        <v>4</v>
      </c>
      <c r="C46" s="107" t="str">
        <f>'4-zapasy'!A31</f>
        <v>5/8-2</v>
      </c>
      <c r="D46" s="109" t="str">
        <f>'4-zapasy'!D31</f>
        <v>vítěz skupiny 3C</v>
      </c>
      <c r="E46" s="109" t="str">
        <f>'4-zapasy'!E31</f>
        <v>druhý ze skupiny 3D</v>
      </c>
      <c r="F46" s="96"/>
      <c r="G46" s="96"/>
      <c r="H46" s="96"/>
      <c r="I46" s="97"/>
    </row>
    <row r="47" spans="1:9" ht="23.25" customHeight="1" thickBot="1" x14ac:dyDescent="0.25">
      <c r="A47" s="461" t="s">
        <v>165</v>
      </c>
      <c r="B47" s="462"/>
      <c r="C47" s="462"/>
      <c r="D47" s="98"/>
      <c r="E47" s="92" t="s">
        <v>166</v>
      </c>
      <c r="F47" s="442"/>
      <c r="G47" s="442"/>
      <c r="H47" s="442"/>
      <c r="I47" s="443"/>
    </row>
    <row r="48" spans="1:9" ht="12" customHeight="1" thickBot="1" x14ac:dyDescent="0.25">
      <c r="A48" s="105"/>
    </row>
    <row r="49" spans="1:9" ht="12" customHeight="1" x14ac:dyDescent="0.2">
      <c r="A49" s="103" t="s">
        <v>160</v>
      </c>
      <c r="B49" s="100" t="s">
        <v>60</v>
      </c>
      <c r="C49" s="110" t="s">
        <v>159</v>
      </c>
      <c r="D49" s="94" t="s">
        <v>96</v>
      </c>
      <c r="E49" s="94" t="s">
        <v>97</v>
      </c>
      <c r="F49" s="93" t="s">
        <v>162</v>
      </c>
      <c r="G49" s="93" t="s">
        <v>163</v>
      </c>
      <c r="H49" s="93" t="s">
        <v>164</v>
      </c>
      <c r="I49" s="95" t="s">
        <v>161</v>
      </c>
    </row>
    <row r="50" spans="1:9" ht="24.95" customHeight="1" x14ac:dyDescent="0.2">
      <c r="A50" s="104" t="e">
        <f>'4-zapasy'!B32</f>
        <v>#REF!</v>
      </c>
      <c r="B50" s="108">
        <f>'4-zapasy'!C32</f>
        <v>5</v>
      </c>
      <c r="C50" s="107" t="str">
        <f>'4-zapasy'!A32</f>
        <v>9/12-1</v>
      </c>
      <c r="D50" s="109" t="str">
        <f>'4-zapasy'!D32</f>
        <v>vítěz utkání 9/16-1</v>
      </c>
      <c r="E50" s="109" t="str">
        <f>'4-zapasy'!E32</f>
        <v>vítěz utkání 9/16-2</v>
      </c>
      <c r="F50" s="96"/>
      <c r="G50" s="96"/>
      <c r="H50" s="96"/>
      <c r="I50" s="97"/>
    </row>
    <row r="51" spans="1:9" ht="23.25" customHeight="1" thickBot="1" x14ac:dyDescent="0.25">
      <c r="A51" s="461" t="s">
        <v>165</v>
      </c>
      <c r="B51" s="462"/>
      <c r="C51" s="462"/>
      <c r="D51" s="98"/>
      <c r="E51" s="92" t="s">
        <v>166</v>
      </c>
      <c r="F51" s="442"/>
      <c r="G51" s="442"/>
      <c r="H51" s="442"/>
      <c r="I51" s="443"/>
    </row>
    <row r="52" spans="1:9" ht="12" customHeight="1" thickBot="1" x14ac:dyDescent="0.25">
      <c r="A52" s="105"/>
    </row>
    <row r="53" spans="1:9" ht="12" customHeight="1" x14ac:dyDescent="0.2">
      <c r="A53" s="103" t="s">
        <v>160</v>
      </c>
      <c r="B53" s="100" t="s">
        <v>60</v>
      </c>
      <c r="C53" s="110" t="s">
        <v>159</v>
      </c>
      <c r="D53" s="94" t="s">
        <v>96</v>
      </c>
      <c r="E53" s="94" t="s">
        <v>97</v>
      </c>
      <c r="F53" s="93" t="s">
        <v>162</v>
      </c>
      <c r="G53" s="93" t="s">
        <v>163</v>
      </c>
      <c r="H53" s="93" t="s">
        <v>164</v>
      </c>
      <c r="I53" s="95" t="s">
        <v>161</v>
      </c>
    </row>
    <row r="54" spans="1:9" ht="24.95" customHeight="1" x14ac:dyDescent="0.2">
      <c r="A54" s="104" t="e">
        <f>'4-zapasy'!B33</f>
        <v>#REF!</v>
      </c>
      <c r="B54" s="108">
        <f>'4-zapasy'!C33</f>
        <v>6</v>
      </c>
      <c r="C54" s="107" t="str">
        <f>'4-zapasy'!A33</f>
        <v>9/12-2</v>
      </c>
      <c r="D54" s="109" t="str">
        <f>'4-zapasy'!D33</f>
        <v>vítěz utkání 9/16-3</v>
      </c>
      <c r="E54" s="109" t="str">
        <f>'4-zapasy'!E33</f>
        <v>vítěz utkání 9/16-4</v>
      </c>
      <c r="F54" s="96"/>
      <c r="G54" s="96"/>
      <c r="H54" s="96"/>
      <c r="I54" s="97"/>
    </row>
    <row r="55" spans="1:9" ht="23.25" customHeight="1" thickBot="1" x14ac:dyDescent="0.25">
      <c r="A55" s="461" t="s">
        <v>165</v>
      </c>
      <c r="B55" s="462"/>
      <c r="C55" s="462"/>
      <c r="D55" s="98"/>
      <c r="E55" s="92" t="s">
        <v>166</v>
      </c>
      <c r="F55" s="442"/>
      <c r="G55" s="442"/>
      <c r="H55" s="442"/>
      <c r="I55" s="443"/>
    </row>
    <row r="56" spans="1:9" ht="13.5" thickBot="1" x14ac:dyDescent="0.25">
      <c r="A56" s="105"/>
    </row>
    <row r="57" spans="1:9" ht="12" customHeight="1" x14ac:dyDescent="0.2">
      <c r="A57" s="103" t="s">
        <v>160</v>
      </c>
      <c r="B57" s="100" t="s">
        <v>60</v>
      </c>
      <c r="C57" s="110" t="s">
        <v>159</v>
      </c>
      <c r="D57" s="94" t="s">
        <v>96</v>
      </c>
      <c r="E57" s="94" t="s">
        <v>97</v>
      </c>
      <c r="F57" s="93" t="s">
        <v>162</v>
      </c>
      <c r="G57" s="93" t="s">
        <v>163</v>
      </c>
      <c r="H57" s="93" t="s">
        <v>164</v>
      </c>
      <c r="I57" s="95" t="s">
        <v>161</v>
      </c>
    </row>
    <row r="58" spans="1:9" ht="24.95" customHeight="1" x14ac:dyDescent="0.2">
      <c r="A58" s="104" t="e">
        <f>'4-zapasy'!B34</f>
        <v>#REF!</v>
      </c>
      <c r="B58" s="108">
        <f>'4-zapasy'!C34</f>
        <v>7</v>
      </c>
      <c r="C58" s="107" t="str">
        <f>'4-zapasy'!A34</f>
        <v>1/4-1</v>
      </c>
      <c r="D58" s="109" t="str">
        <f>'4-zapasy'!D34</f>
        <v>vítěz utkání 1/8-1</v>
      </c>
      <c r="E58" s="109" t="str">
        <f>'4-zapasy'!E34</f>
        <v>vítěz utkání 1/8-2</v>
      </c>
      <c r="F58" s="96"/>
      <c r="G58" s="96"/>
      <c r="H58" s="96"/>
      <c r="I58" s="97"/>
    </row>
    <row r="59" spans="1:9" ht="23.25" customHeight="1" thickBot="1" x14ac:dyDescent="0.25">
      <c r="A59" s="461" t="s">
        <v>165</v>
      </c>
      <c r="B59" s="462"/>
      <c r="C59" s="462"/>
      <c r="D59" s="98"/>
      <c r="E59" s="92" t="s">
        <v>166</v>
      </c>
      <c r="F59" s="442"/>
      <c r="G59" s="442"/>
      <c r="H59" s="442"/>
      <c r="I59" s="443"/>
    </row>
    <row r="60" spans="1:9" ht="12" customHeight="1" thickBot="1" x14ac:dyDescent="0.25">
      <c r="A60" s="105"/>
    </row>
    <row r="61" spans="1:9" ht="12" customHeight="1" x14ac:dyDescent="0.2">
      <c r="A61" s="103" t="s">
        <v>160</v>
      </c>
      <c r="B61" s="100" t="s">
        <v>60</v>
      </c>
      <c r="C61" s="110" t="s">
        <v>159</v>
      </c>
      <c r="D61" s="94" t="s">
        <v>96</v>
      </c>
      <c r="E61" s="94" t="s">
        <v>97</v>
      </c>
      <c r="F61" s="93" t="s">
        <v>162</v>
      </c>
      <c r="G61" s="93" t="s">
        <v>163</v>
      </c>
      <c r="H61" s="93" t="s">
        <v>164</v>
      </c>
      <c r="I61" s="95" t="s">
        <v>161</v>
      </c>
    </row>
    <row r="62" spans="1:9" ht="24.95" customHeight="1" x14ac:dyDescent="0.2">
      <c r="A62" s="104" t="e">
        <f>'4-zapasy'!B35</f>
        <v>#REF!</v>
      </c>
      <c r="B62" s="108">
        <f>'4-zapasy'!C35</f>
        <v>8</v>
      </c>
      <c r="C62" s="107" t="str">
        <f>'4-zapasy'!A35</f>
        <v>1/4-2</v>
      </c>
      <c r="D62" s="109" t="str">
        <f>'4-zapasy'!D35</f>
        <v>vítěz utkání 1/8-3</v>
      </c>
      <c r="E62" s="109" t="str">
        <f>'4-zapasy'!E35</f>
        <v>vítěz utkání 1/8-4</v>
      </c>
      <c r="F62" s="96"/>
      <c r="G62" s="96"/>
      <c r="H62" s="96"/>
      <c r="I62" s="97"/>
    </row>
    <row r="63" spans="1:9" ht="23.25" customHeight="1" thickBot="1" x14ac:dyDescent="0.25">
      <c r="A63" s="461" t="s">
        <v>165</v>
      </c>
      <c r="B63" s="462"/>
      <c r="C63" s="462"/>
      <c r="D63" s="98"/>
      <c r="E63" s="92" t="s">
        <v>166</v>
      </c>
      <c r="F63" s="442"/>
      <c r="G63" s="442"/>
      <c r="H63" s="442"/>
      <c r="I63" s="443"/>
    </row>
    <row r="64" spans="1:9" ht="12" customHeight="1" thickBot="1" x14ac:dyDescent="0.25">
      <c r="A64" s="105"/>
    </row>
    <row r="65" spans="1:9" ht="12" customHeight="1" x14ac:dyDescent="0.2">
      <c r="A65" s="103" t="s">
        <v>160</v>
      </c>
      <c r="B65" s="100" t="s">
        <v>60</v>
      </c>
      <c r="C65" s="110" t="s">
        <v>159</v>
      </c>
      <c r="D65" s="94" t="s">
        <v>96</v>
      </c>
      <c r="E65" s="94" t="s">
        <v>97</v>
      </c>
      <c r="F65" s="93" t="s">
        <v>162</v>
      </c>
      <c r="G65" s="93" t="s">
        <v>163</v>
      </c>
      <c r="H65" s="93" t="s">
        <v>164</v>
      </c>
      <c r="I65" s="95" t="s">
        <v>161</v>
      </c>
    </row>
    <row r="66" spans="1:9" ht="24.95" customHeight="1" x14ac:dyDescent="0.2">
      <c r="A66" s="104" t="e">
        <f>'4-zapasy'!B36</f>
        <v>#REF!</v>
      </c>
      <c r="B66" s="108">
        <f>'4-zapasy'!C36</f>
        <v>1</v>
      </c>
      <c r="C66" s="107" t="str">
        <f>'4-zapasy'!A36</f>
        <v>15/16</v>
      </c>
      <c r="D66" s="109" t="str">
        <f>'4-zapasy'!D36</f>
        <v>třetí ze skupiny 3A</v>
      </c>
      <c r="E66" s="109" t="str">
        <f>'4-zapasy'!E36</f>
        <v>třetí ze skupiny 3C</v>
      </c>
      <c r="F66" s="96"/>
      <c r="G66" s="96"/>
      <c r="H66" s="96"/>
      <c r="I66" s="97"/>
    </row>
    <row r="67" spans="1:9" ht="23.25" customHeight="1" thickBot="1" x14ac:dyDescent="0.25">
      <c r="A67" s="461" t="s">
        <v>165</v>
      </c>
      <c r="B67" s="462"/>
      <c r="C67" s="462"/>
      <c r="D67" s="98"/>
      <c r="E67" s="92" t="s">
        <v>166</v>
      </c>
      <c r="F67" s="442"/>
      <c r="G67" s="442"/>
      <c r="H67" s="442"/>
      <c r="I67" s="443"/>
    </row>
    <row r="68" spans="1:9" s="91" customFormat="1" ht="13.5" thickBot="1" x14ac:dyDescent="0.25">
      <c r="A68" s="105"/>
      <c r="B68" s="102"/>
      <c r="C68" s="111"/>
      <c r="D68" s="89"/>
      <c r="E68" s="89"/>
      <c r="F68" s="90"/>
      <c r="G68" s="90"/>
      <c r="H68" s="90"/>
      <c r="I68" s="88"/>
    </row>
    <row r="69" spans="1:9" ht="12" customHeight="1" x14ac:dyDescent="0.2">
      <c r="A69" s="103" t="s">
        <v>160</v>
      </c>
      <c r="B69" s="100" t="s">
        <v>60</v>
      </c>
      <c r="C69" s="110" t="s">
        <v>159</v>
      </c>
      <c r="D69" s="94" t="s">
        <v>96</v>
      </c>
      <c r="E69" s="94" t="s">
        <v>97</v>
      </c>
      <c r="F69" s="93" t="s">
        <v>162</v>
      </c>
      <c r="G69" s="93" t="s">
        <v>163</v>
      </c>
      <c r="H69" s="93" t="s">
        <v>164</v>
      </c>
      <c r="I69" s="95" t="s">
        <v>161</v>
      </c>
    </row>
    <row r="70" spans="1:9" ht="24.95" customHeight="1" x14ac:dyDescent="0.2">
      <c r="A70" s="104" t="e">
        <f>'4-zapasy'!B37</f>
        <v>#REF!</v>
      </c>
      <c r="B70" s="108">
        <f>'4-zapasy'!C37</f>
        <v>2</v>
      </c>
      <c r="C70" s="107" t="str">
        <f>'4-zapasy'!A37</f>
        <v>13/14</v>
      </c>
      <c r="D70" s="109" t="str">
        <f>'4-zapasy'!D37</f>
        <v>vítěz utkání 13/16-1</v>
      </c>
      <c r="E70" s="109" t="str">
        <f>'4-zapasy'!E37</f>
        <v>vítěz utkání 13/16-2</v>
      </c>
      <c r="F70" s="96"/>
      <c r="G70" s="96"/>
      <c r="H70" s="96"/>
      <c r="I70" s="97"/>
    </row>
    <row r="71" spans="1:9" ht="23.25" customHeight="1" thickBot="1" x14ac:dyDescent="0.25">
      <c r="A71" s="461" t="s">
        <v>165</v>
      </c>
      <c r="B71" s="462"/>
      <c r="C71" s="462"/>
      <c r="D71" s="98"/>
      <c r="E71" s="92" t="s">
        <v>166</v>
      </c>
      <c r="F71" s="442"/>
      <c r="G71" s="442"/>
      <c r="H71" s="442"/>
      <c r="I71" s="443"/>
    </row>
    <row r="72" spans="1:9" ht="12" customHeight="1" thickBot="1" x14ac:dyDescent="0.25">
      <c r="A72" s="105"/>
    </row>
    <row r="73" spans="1:9" ht="12" customHeight="1" x14ac:dyDescent="0.2">
      <c r="A73" s="103" t="s">
        <v>160</v>
      </c>
      <c r="B73" s="100" t="s">
        <v>60</v>
      </c>
      <c r="C73" s="110" t="s">
        <v>159</v>
      </c>
      <c r="D73" s="94" t="s">
        <v>96</v>
      </c>
      <c r="E73" s="94" t="s">
        <v>97</v>
      </c>
      <c r="F73" s="93" t="s">
        <v>162</v>
      </c>
      <c r="G73" s="93" t="s">
        <v>163</v>
      </c>
      <c r="H73" s="93" t="s">
        <v>164</v>
      </c>
      <c r="I73" s="95" t="s">
        <v>161</v>
      </c>
    </row>
    <row r="74" spans="1:9" ht="24.95" customHeight="1" x14ac:dyDescent="0.2">
      <c r="A74" s="104" t="e">
        <f>'4-zapasy'!B38</f>
        <v>#REF!</v>
      </c>
      <c r="B74" s="108">
        <f>'4-zapasy'!C38</f>
        <v>3</v>
      </c>
      <c r="C74" s="107" t="str">
        <f>'4-zapasy'!A38</f>
        <v>11/12</v>
      </c>
      <c r="D74" s="109" t="str">
        <f>'4-zapasy'!D38</f>
        <v>vítěz utkání 9/16-1</v>
      </c>
      <c r="E74" s="109" t="str">
        <f>'4-zapasy'!E38</f>
        <v>vítěz utkání 9/16-3</v>
      </c>
      <c r="F74" s="96"/>
      <c r="G74" s="96"/>
      <c r="H74" s="96"/>
      <c r="I74" s="97"/>
    </row>
    <row r="75" spans="1:9" ht="23.25" customHeight="1" thickBot="1" x14ac:dyDescent="0.25">
      <c r="A75" s="461" t="s">
        <v>165</v>
      </c>
      <c r="B75" s="462"/>
      <c r="C75" s="462"/>
      <c r="D75" s="98"/>
      <c r="E75" s="92" t="s">
        <v>166</v>
      </c>
      <c r="F75" s="442"/>
      <c r="G75" s="442"/>
      <c r="H75" s="442"/>
      <c r="I75" s="443"/>
    </row>
    <row r="76" spans="1:9" ht="12" customHeight="1" thickBot="1" x14ac:dyDescent="0.25">
      <c r="A76" s="105"/>
    </row>
    <row r="77" spans="1:9" ht="12" customHeight="1" x14ac:dyDescent="0.2">
      <c r="A77" s="103" t="s">
        <v>160</v>
      </c>
      <c r="B77" s="100" t="s">
        <v>60</v>
      </c>
      <c r="C77" s="110" t="s">
        <v>159</v>
      </c>
      <c r="D77" s="94" t="s">
        <v>96</v>
      </c>
      <c r="E77" s="94" t="s">
        <v>97</v>
      </c>
      <c r="F77" s="93" t="s">
        <v>162</v>
      </c>
      <c r="G77" s="93" t="s">
        <v>163</v>
      </c>
      <c r="H77" s="93" t="s">
        <v>164</v>
      </c>
      <c r="I77" s="95" t="s">
        <v>161</v>
      </c>
    </row>
    <row r="78" spans="1:9" ht="24.95" customHeight="1" x14ac:dyDescent="0.2">
      <c r="A78" s="104" t="e">
        <f>'4-zapasy'!B39</f>
        <v>#REF!</v>
      </c>
      <c r="B78" s="108">
        <f>'4-zapasy'!C39</f>
        <v>4</v>
      </c>
      <c r="C78" s="107" t="str">
        <f>'4-zapasy'!A39</f>
        <v>9/10</v>
      </c>
      <c r="D78" s="109" t="str">
        <f>'4-zapasy'!D39</f>
        <v>vítěz utkání 9/12-1</v>
      </c>
      <c r="E78" s="109" t="str">
        <f>'4-zapasy'!E39</f>
        <v>vítěz utkání 9/12-2</v>
      </c>
      <c r="F78" s="96"/>
      <c r="G78" s="96"/>
      <c r="H78" s="96"/>
      <c r="I78" s="97"/>
    </row>
    <row r="79" spans="1:9" ht="23.25" customHeight="1" thickBot="1" x14ac:dyDescent="0.25">
      <c r="A79" s="461" t="s">
        <v>165</v>
      </c>
      <c r="B79" s="462"/>
      <c r="C79" s="462"/>
      <c r="D79" s="98"/>
      <c r="E79" s="92" t="s">
        <v>166</v>
      </c>
      <c r="F79" s="442"/>
      <c r="G79" s="442"/>
      <c r="H79" s="442"/>
      <c r="I79" s="443"/>
    </row>
    <row r="80" spans="1:9" ht="12" customHeight="1" thickBot="1" x14ac:dyDescent="0.25">
      <c r="A80" s="105"/>
    </row>
    <row r="81" spans="1:9" ht="12" customHeight="1" x14ac:dyDescent="0.2">
      <c r="A81" s="103" t="s">
        <v>160</v>
      </c>
      <c r="B81" s="100" t="s">
        <v>60</v>
      </c>
      <c r="C81" s="110" t="s">
        <v>159</v>
      </c>
      <c r="D81" s="94" t="s">
        <v>96</v>
      </c>
      <c r="E81" s="94" t="s">
        <v>97</v>
      </c>
      <c r="F81" s="93" t="s">
        <v>162</v>
      </c>
      <c r="G81" s="93" t="s">
        <v>163</v>
      </c>
      <c r="H81" s="93" t="s">
        <v>164</v>
      </c>
      <c r="I81" s="95" t="s">
        <v>161</v>
      </c>
    </row>
    <row r="82" spans="1:9" ht="24.95" customHeight="1" x14ac:dyDescent="0.2">
      <c r="A82" s="104" t="e">
        <f>'4-zapasy'!B40</f>
        <v>#REF!</v>
      </c>
      <c r="B82" s="108">
        <f>'4-zapasy'!C40</f>
        <v>5</v>
      </c>
      <c r="C82" s="107" t="str">
        <f>'4-zapasy'!A40</f>
        <v>7/8</v>
      </c>
      <c r="D82" s="109" t="str">
        <f>'4-zapasy'!D40</f>
        <v>vítěz skupiny 3A</v>
      </c>
      <c r="E82" s="109" t="str">
        <f>'4-zapasy'!E40</f>
        <v>vítěz skupiny 3C</v>
      </c>
      <c r="F82" s="96"/>
      <c r="G82" s="96"/>
      <c r="H82" s="96"/>
      <c r="I82" s="97"/>
    </row>
    <row r="83" spans="1:9" ht="23.25" customHeight="1" thickBot="1" x14ac:dyDescent="0.25">
      <c r="A83" s="461" t="s">
        <v>165</v>
      </c>
      <c r="B83" s="462"/>
      <c r="C83" s="462"/>
      <c r="D83" s="98"/>
      <c r="E83" s="92" t="s">
        <v>166</v>
      </c>
      <c r="F83" s="442"/>
      <c r="G83" s="442"/>
      <c r="H83" s="442"/>
      <c r="I83" s="443"/>
    </row>
    <row r="84" spans="1:9" ht="13.5" thickBot="1" x14ac:dyDescent="0.25">
      <c r="A84" s="105"/>
    </row>
    <row r="85" spans="1:9" ht="12" customHeight="1" x14ac:dyDescent="0.2">
      <c r="A85" s="103" t="s">
        <v>160</v>
      </c>
      <c r="B85" s="100" t="s">
        <v>60</v>
      </c>
      <c r="C85" s="110" t="s">
        <v>159</v>
      </c>
      <c r="D85" s="94" t="s">
        <v>96</v>
      </c>
      <c r="E85" s="94" t="s">
        <v>97</v>
      </c>
      <c r="F85" s="93" t="s">
        <v>162</v>
      </c>
      <c r="G85" s="93" t="s">
        <v>163</v>
      </c>
      <c r="H85" s="93" t="s">
        <v>164</v>
      </c>
      <c r="I85" s="95" t="s">
        <v>161</v>
      </c>
    </row>
    <row r="86" spans="1:9" ht="24.95" customHeight="1" x14ac:dyDescent="0.2">
      <c r="A86" s="104" t="e">
        <f>'4-zapasy'!B41</f>
        <v>#REF!</v>
      </c>
      <c r="B86" s="108">
        <f>'4-zapasy'!C41</f>
        <v>6</v>
      </c>
      <c r="C86" s="107" t="str">
        <f>'4-zapasy'!A41</f>
        <v>5/6</v>
      </c>
      <c r="D86" s="109" t="str">
        <f>'4-zapasy'!D41</f>
        <v>vítěz utkání 5/8-1</v>
      </c>
      <c r="E86" s="109" t="str">
        <f>'4-zapasy'!E41</f>
        <v>vítěz utkání 5/8-2</v>
      </c>
      <c r="F86" s="96"/>
      <c r="G86" s="96"/>
      <c r="H86" s="96"/>
      <c r="I86" s="97"/>
    </row>
    <row r="87" spans="1:9" ht="23.25" customHeight="1" thickBot="1" x14ac:dyDescent="0.25">
      <c r="A87" s="461" t="s">
        <v>165</v>
      </c>
      <c r="B87" s="462"/>
      <c r="C87" s="462"/>
      <c r="D87" s="98"/>
      <c r="E87" s="92" t="s">
        <v>166</v>
      </c>
      <c r="F87" s="442"/>
      <c r="G87" s="442"/>
      <c r="H87" s="442"/>
      <c r="I87" s="443"/>
    </row>
    <row r="88" spans="1:9" ht="12" customHeight="1" thickBot="1" x14ac:dyDescent="0.25">
      <c r="A88" s="105"/>
    </row>
    <row r="89" spans="1:9" ht="12" customHeight="1" x14ac:dyDescent="0.2">
      <c r="A89" s="103" t="s">
        <v>160</v>
      </c>
      <c r="B89" s="100" t="s">
        <v>60</v>
      </c>
      <c r="C89" s="110" t="s">
        <v>159</v>
      </c>
      <c r="D89" s="94" t="s">
        <v>96</v>
      </c>
      <c r="E89" s="94" t="s">
        <v>97</v>
      </c>
      <c r="F89" s="93" t="s">
        <v>162</v>
      </c>
      <c r="G89" s="93" t="s">
        <v>163</v>
      </c>
      <c r="H89" s="93" t="s">
        <v>164</v>
      </c>
      <c r="I89" s="95" t="s">
        <v>161</v>
      </c>
    </row>
    <row r="90" spans="1:9" ht="24.95" customHeight="1" x14ac:dyDescent="0.2">
      <c r="A90" s="104" t="e">
        <f>'4-zapasy'!B42</f>
        <v>#REF!</v>
      </c>
      <c r="B90" s="108">
        <f>'4-zapasy'!C42</f>
        <v>7</v>
      </c>
      <c r="C90" s="107" t="str">
        <f>'4-zapasy'!A42</f>
        <v>3/4</v>
      </c>
      <c r="D90" s="109" t="str">
        <f>'4-zapasy'!D42</f>
        <v>vítěz utkání 1/8-2</v>
      </c>
      <c r="E90" s="109" t="str">
        <f>'4-zapasy'!E42</f>
        <v>vítěz utkání 1/8-3</v>
      </c>
      <c r="F90" s="96"/>
      <c r="G90" s="96"/>
      <c r="H90" s="96"/>
      <c r="I90" s="97"/>
    </row>
    <row r="91" spans="1:9" ht="23.25" customHeight="1" thickBot="1" x14ac:dyDescent="0.25">
      <c r="A91" s="461" t="s">
        <v>165</v>
      </c>
      <c r="B91" s="462"/>
      <c r="C91" s="462"/>
      <c r="D91" s="98"/>
      <c r="E91" s="92" t="s">
        <v>166</v>
      </c>
      <c r="F91" s="442"/>
      <c r="G91" s="442"/>
      <c r="H91" s="442"/>
      <c r="I91" s="443"/>
    </row>
    <row r="92" spans="1:9" ht="13.5" thickBot="1" x14ac:dyDescent="0.25">
      <c r="A92" s="105"/>
    </row>
    <row r="93" spans="1:9" ht="12" customHeight="1" x14ac:dyDescent="0.2">
      <c r="A93" s="103" t="s">
        <v>160</v>
      </c>
      <c r="B93" s="100" t="s">
        <v>60</v>
      </c>
      <c r="C93" s="110" t="s">
        <v>159</v>
      </c>
      <c r="D93" s="94" t="s">
        <v>96</v>
      </c>
      <c r="E93" s="94" t="s">
        <v>97</v>
      </c>
      <c r="F93" s="93" t="s">
        <v>162</v>
      </c>
      <c r="G93" s="93" t="s">
        <v>163</v>
      </c>
      <c r="H93" s="93" t="s">
        <v>164</v>
      </c>
      <c r="I93" s="95" t="s">
        <v>161</v>
      </c>
    </row>
    <row r="94" spans="1:9" ht="24.95" customHeight="1" x14ac:dyDescent="0.2">
      <c r="A94" s="104" t="e">
        <f>'4-zapasy'!B43</f>
        <v>#REF!</v>
      </c>
      <c r="B94" s="108">
        <f>'4-zapasy'!C43</f>
        <v>8</v>
      </c>
      <c r="C94" s="107" t="str">
        <f>'4-zapasy'!A43</f>
        <v>FIN</v>
      </c>
      <c r="D94" s="109" t="str">
        <f>'4-zapasy'!D43</f>
        <v>vítěz utkání 1/4-1</v>
      </c>
      <c r="E94" s="109" t="str">
        <f>'4-zapasy'!E43</f>
        <v>vítěz utkání 1/4-2</v>
      </c>
      <c r="F94" s="96"/>
      <c r="G94" s="96"/>
      <c r="H94" s="96"/>
      <c r="I94" s="97"/>
    </row>
    <row r="95" spans="1:9" ht="23.25" customHeight="1" thickBot="1" x14ac:dyDescent="0.25">
      <c r="A95" s="461" t="s">
        <v>165</v>
      </c>
      <c r="B95" s="462"/>
      <c r="C95" s="462"/>
      <c r="D95" s="98"/>
      <c r="E95" s="92" t="s">
        <v>166</v>
      </c>
      <c r="F95" s="442"/>
      <c r="G95" s="442"/>
      <c r="H95" s="442"/>
      <c r="I95" s="443"/>
    </row>
  </sheetData>
  <mergeCells count="48">
    <mergeCell ref="A3:C3"/>
    <mergeCell ref="F3:I3"/>
    <mergeCell ref="A7:C7"/>
    <mergeCell ref="F7:I7"/>
    <mergeCell ref="A11:C11"/>
    <mergeCell ref="F11:I11"/>
    <mergeCell ref="A15:C15"/>
    <mergeCell ref="F15:I15"/>
    <mergeCell ref="A19:C19"/>
    <mergeCell ref="F19:I19"/>
    <mergeCell ref="A23:C23"/>
    <mergeCell ref="F23:I23"/>
    <mergeCell ref="A27:C27"/>
    <mergeCell ref="F27:I27"/>
    <mergeCell ref="A31:C31"/>
    <mergeCell ref="F31:I31"/>
    <mergeCell ref="A35:C35"/>
    <mergeCell ref="F35:I35"/>
    <mergeCell ref="A39:C39"/>
    <mergeCell ref="F39:I39"/>
    <mergeCell ref="A43:C43"/>
    <mergeCell ref="F43:I43"/>
    <mergeCell ref="A47:C47"/>
    <mergeCell ref="F47:I47"/>
    <mergeCell ref="A51:C51"/>
    <mergeCell ref="F51:I51"/>
    <mergeCell ref="A55:C55"/>
    <mergeCell ref="F55:I55"/>
    <mergeCell ref="A59:C59"/>
    <mergeCell ref="F59:I59"/>
    <mergeCell ref="A63:C63"/>
    <mergeCell ref="F63:I63"/>
    <mergeCell ref="A67:C67"/>
    <mergeCell ref="F67:I67"/>
    <mergeCell ref="A71:C71"/>
    <mergeCell ref="F71:I71"/>
    <mergeCell ref="A75:C75"/>
    <mergeCell ref="F75:I75"/>
    <mergeCell ref="A79:C79"/>
    <mergeCell ref="F79:I79"/>
    <mergeCell ref="A83:C83"/>
    <mergeCell ref="F83:I83"/>
    <mergeCell ref="A87:C87"/>
    <mergeCell ref="F87:I87"/>
    <mergeCell ref="A91:C91"/>
    <mergeCell ref="F91:I91"/>
    <mergeCell ref="A95:C95"/>
    <mergeCell ref="F95:I95"/>
  </mergeCells>
  <printOptions horizontalCentered="1" verticalCentered="1"/>
  <pageMargins left="0.19685039370078741" right="0.19685039370078741" top="0.59055118110236227" bottom="0.19685039370078741" header="0.19685039370078741" footer="0.51181102362204722"/>
  <pageSetup paperSize="9" orientation="portrait" horizontalDpi="360" verticalDpi="360" r:id="rId1"/>
  <headerFooter alignWithMargins="0">
    <oddHeader>&amp;C4. stupeň</oddHeader>
  </headerFooter>
  <rowBreaks count="2" manualBreakCount="2">
    <brk id="32" max="16383" man="1"/>
    <brk id="6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19"/>
  <dimension ref="A1:D17"/>
  <sheetViews>
    <sheetView showGridLines="0" view="pageBreakPreview" zoomScaleNormal="100" workbookViewId="0">
      <selection activeCell="C2" sqref="C2"/>
    </sheetView>
  </sheetViews>
  <sheetFormatPr defaultRowHeight="12.75" x14ac:dyDescent="0.2"/>
  <cols>
    <col min="1" max="1" width="10.85546875" style="2" bestFit="1" customWidth="1"/>
    <col min="2" max="2" width="2.5703125" style="2" customWidth="1"/>
    <col min="3" max="3" width="54" style="2" customWidth="1"/>
    <col min="4" max="16384" width="9.140625" style="2"/>
  </cols>
  <sheetData>
    <row r="1" spans="1:4" s="3" customFormat="1" ht="18" x14ac:dyDescent="0.2">
      <c r="A1" s="87" t="s">
        <v>219</v>
      </c>
      <c r="B1" s="87"/>
      <c r="C1" s="87"/>
    </row>
    <row r="2" spans="1:4" s="4" customFormat="1" ht="19.5" x14ac:dyDescent="0.2">
      <c r="A2" s="8" t="s">
        <v>1</v>
      </c>
      <c r="B2" s="8"/>
      <c r="C2" s="9" t="str">
        <f>'4-pavouk'!G7</f>
        <v/>
      </c>
      <c r="D2" s="6"/>
    </row>
    <row r="3" spans="1:4" s="5" customFormat="1" ht="19.5" x14ac:dyDescent="0.2">
      <c r="A3" s="10" t="s">
        <v>3</v>
      </c>
      <c r="B3" s="10"/>
      <c r="C3" s="11" t="str">
        <f>'4-pavouk'!G12</f>
        <v/>
      </c>
      <c r="D3" s="7"/>
    </row>
    <row r="4" spans="1:4" s="5" customFormat="1" ht="19.5" x14ac:dyDescent="0.2">
      <c r="A4" s="10" t="s">
        <v>5</v>
      </c>
      <c r="B4" s="10"/>
      <c r="C4" s="11" t="str">
        <f>'4-pavouk'!G14</f>
        <v/>
      </c>
      <c r="D4" s="7"/>
    </row>
    <row r="5" spans="1:4" s="5" customFormat="1" ht="19.5" x14ac:dyDescent="0.2">
      <c r="A5" s="10" t="s">
        <v>11</v>
      </c>
      <c r="B5" s="10"/>
      <c r="C5" s="11" t="str">
        <f>'4-pavouk'!G16</f>
        <v/>
      </c>
      <c r="D5" s="7"/>
    </row>
    <row r="6" spans="1:4" s="5" customFormat="1" ht="19.5" x14ac:dyDescent="0.2">
      <c r="A6" s="10" t="s">
        <v>8</v>
      </c>
      <c r="B6" s="10"/>
      <c r="C6" s="11" t="str">
        <f>'4-pavouk'!G19</f>
        <v/>
      </c>
      <c r="D6" s="7"/>
    </row>
    <row r="7" spans="1:4" s="5" customFormat="1" ht="19.5" x14ac:dyDescent="0.2">
      <c r="A7" s="10" t="s">
        <v>14</v>
      </c>
      <c r="B7" s="10"/>
      <c r="C7" s="11" t="str">
        <f>'4-pavouk'!G22</f>
        <v/>
      </c>
      <c r="D7" s="7"/>
    </row>
    <row r="8" spans="1:4" s="5" customFormat="1" ht="19.5" x14ac:dyDescent="0.2">
      <c r="A8" s="10" t="s">
        <v>9</v>
      </c>
      <c r="B8" s="10"/>
      <c r="C8" s="11" t="str">
        <f>'4-pavouk'!G24</f>
        <v/>
      </c>
      <c r="D8" s="7"/>
    </row>
    <row r="9" spans="1:4" s="5" customFormat="1" ht="19.5" x14ac:dyDescent="0.2">
      <c r="A9" s="10" t="s">
        <v>15</v>
      </c>
      <c r="B9" s="10"/>
      <c r="C9" s="11" t="str">
        <f>'4-pavouk'!G26</f>
        <v/>
      </c>
      <c r="D9" s="7"/>
    </row>
    <row r="10" spans="1:4" s="5" customFormat="1" ht="19.5" x14ac:dyDescent="0.2">
      <c r="A10" s="10" t="s">
        <v>0</v>
      </c>
      <c r="B10" s="10"/>
      <c r="C10" s="11" t="str">
        <f>'4-pavouk'!G32</f>
        <v/>
      </c>
      <c r="D10" s="7"/>
    </row>
    <row r="11" spans="1:4" s="5" customFormat="1" ht="19.5" x14ac:dyDescent="0.2">
      <c r="A11" s="10" t="s">
        <v>2</v>
      </c>
      <c r="B11" s="10"/>
      <c r="C11" s="11" t="str">
        <f>'4-pavouk'!G37</f>
        <v/>
      </c>
      <c r="D11" s="7"/>
    </row>
    <row r="12" spans="1:4" s="5" customFormat="1" ht="19.5" x14ac:dyDescent="0.2">
      <c r="A12" s="10" t="s">
        <v>4</v>
      </c>
      <c r="B12" s="10"/>
      <c r="C12" s="11" t="str">
        <f>'4-pavouk'!G39</f>
        <v/>
      </c>
      <c r="D12" s="7"/>
    </row>
    <row r="13" spans="1:4" s="5" customFormat="1" ht="19.5" x14ac:dyDescent="0.2">
      <c r="A13" s="10" t="s">
        <v>10</v>
      </c>
      <c r="B13" s="10"/>
      <c r="C13" s="11" t="str">
        <f>'4-pavouk'!G41</f>
        <v/>
      </c>
      <c r="D13" s="7"/>
    </row>
    <row r="14" spans="1:4" s="5" customFormat="1" ht="19.5" x14ac:dyDescent="0.2">
      <c r="A14" s="10" t="s">
        <v>6</v>
      </c>
      <c r="B14" s="10"/>
      <c r="C14" s="11" t="str">
        <f>'4-pavouk'!G44</f>
        <v/>
      </c>
      <c r="D14" s="7"/>
    </row>
    <row r="15" spans="1:4" s="5" customFormat="1" ht="19.5" x14ac:dyDescent="0.2">
      <c r="A15" s="10" t="s">
        <v>12</v>
      </c>
      <c r="B15" s="10"/>
      <c r="C15" s="11" t="str">
        <f>'4-pavouk'!G47</f>
        <v/>
      </c>
      <c r="D15" s="7"/>
    </row>
    <row r="16" spans="1:4" s="5" customFormat="1" ht="19.5" x14ac:dyDescent="0.2">
      <c r="A16" s="10" t="s">
        <v>7</v>
      </c>
      <c r="B16" s="10"/>
      <c r="C16" s="11" t="str">
        <f>'4-pavouk'!G49</f>
        <v/>
      </c>
      <c r="D16" s="7"/>
    </row>
    <row r="17" spans="1:4" s="5" customFormat="1" ht="23.25" customHeight="1" x14ac:dyDescent="0.2">
      <c r="A17" s="10" t="s">
        <v>13</v>
      </c>
      <c r="B17" s="10"/>
      <c r="C17" s="11" t="str">
        <f>'4-pavouk'!G51</f>
        <v/>
      </c>
      <c r="D17" s="7"/>
    </row>
  </sheetData>
  <printOptions horizontalCentered="1"/>
  <pageMargins left="0.78740157480314965" right="0.39370078740157483" top="0.98425196850393704" bottom="0.39370078740157483" header="0.51181102362204722" footer="0.51181102362204722"/>
  <pageSetup paperSize="9" orientation="portrait" horizontalDpi="4294967292" verticalDpi="36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0"/>
  <dimension ref="A1:B10"/>
  <sheetViews>
    <sheetView view="pageBreakPreview" zoomScale="75" zoomScaleNormal="100" workbookViewId="0">
      <selection activeCell="B2" sqref="B2"/>
    </sheetView>
  </sheetViews>
  <sheetFormatPr defaultRowHeight="30" x14ac:dyDescent="0.4"/>
  <cols>
    <col min="1" max="1" width="54.85546875" style="84" bestFit="1" customWidth="1"/>
    <col min="2" max="2" width="19.85546875" style="86" customWidth="1"/>
    <col min="3" max="16384" width="9.140625" style="84"/>
  </cols>
  <sheetData>
    <row r="1" spans="1:2" x14ac:dyDescent="0.4">
      <c r="A1" s="82" t="s">
        <v>138</v>
      </c>
      <c r="B1" s="83">
        <f>'1-los'!I8</f>
        <v>0</v>
      </c>
    </row>
    <row r="2" spans="1:2" x14ac:dyDescent="0.4">
      <c r="A2" s="82" t="s">
        <v>144</v>
      </c>
      <c r="B2" s="85">
        <f>'1-los'!I11</f>
        <v>0</v>
      </c>
    </row>
    <row r="3" spans="1:2" x14ac:dyDescent="0.4">
      <c r="A3" s="82" t="s">
        <v>145</v>
      </c>
      <c r="B3" s="83">
        <f>'1-los'!I17</f>
        <v>0</v>
      </c>
    </row>
    <row r="4" spans="1:2" x14ac:dyDescent="0.4">
      <c r="A4" s="82" t="s">
        <v>146</v>
      </c>
      <c r="B4" s="83">
        <f>'2-los'!F3</f>
        <v>0</v>
      </c>
    </row>
    <row r="5" spans="1:2" x14ac:dyDescent="0.4">
      <c r="A5" s="82" t="s">
        <v>147</v>
      </c>
      <c r="B5" s="83" t="e">
        <f>'2-los'!F7</f>
        <v>#REF!</v>
      </c>
    </row>
    <row r="6" spans="1:2" x14ac:dyDescent="0.4">
      <c r="A6" s="82" t="s">
        <v>148</v>
      </c>
      <c r="B6" s="83" t="e">
        <f>'3-los'!F25</f>
        <v>#REF!</v>
      </c>
    </row>
    <row r="7" spans="1:2" x14ac:dyDescent="0.4">
      <c r="A7" s="82" t="s">
        <v>210</v>
      </c>
      <c r="B7" s="85">
        <f>'3-los'!F28</f>
        <v>0</v>
      </c>
    </row>
    <row r="8" spans="1:2" x14ac:dyDescent="0.4">
      <c r="A8" s="82" t="s">
        <v>149</v>
      </c>
      <c r="B8" s="83" t="e">
        <f>'3-los'!F34</f>
        <v>#REF!</v>
      </c>
    </row>
    <row r="9" spans="1:2" x14ac:dyDescent="0.4">
      <c r="A9" s="82" t="s">
        <v>150</v>
      </c>
      <c r="B9" s="83" t="e">
        <f>'4-zapasy'!F3</f>
        <v>#REF!</v>
      </c>
    </row>
    <row r="10" spans="1:2" x14ac:dyDescent="0.4">
      <c r="A10" s="82" t="s">
        <v>151</v>
      </c>
      <c r="B10" s="83" t="e">
        <f>'4-zapasy'!F7</f>
        <v>#REF!</v>
      </c>
    </row>
  </sheetData>
  <pageMargins left="0.78740157499999996" right="0.78740157499999996" top="0.984251969" bottom="0.984251969" header="0.4921259845" footer="0.4921259845"/>
  <pageSetup paperSize="9" orientation="portrait" horizontalDpi="360" verticalDpi="36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1"/>
  <dimension ref="A2:CF170"/>
  <sheetViews>
    <sheetView zoomScale="75" workbookViewId="0">
      <selection activeCell="N75" sqref="N75"/>
    </sheetView>
  </sheetViews>
  <sheetFormatPr defaultRowHeight="12.75" x14ac:dyDescent="0.2"/>
  <cols>
    <col min="1" max="1" width="33.5703125" style="27" customWidth="1"/>
    <col min="2" max="2" width="2.7109375" style="220" customWidth="1"/>
    <col min="3" max="3" width="1.5703125" style="220" customWidth="1"/>
    <col min="4" max="4" width="2.7109375" style="220" customWidth="1"/>
    <col min="5" max="5" width="33.5703125" style="27" customWidth="1"/>
    <col min="6" max="6" width="5.140625" style="28" customWidth="1"/>
    <col min="7" max="34" width="3.7109375" style="28" customWidth="1"/>
    <col min="35" max="36" width="9.140625" style="28"/>
    <col min="37" max="43" width="3.7109375" style="28" customWidth="1"/>
    <col min="44" max="44" width="9.140625" style="28"/>
    <col min="45" max="45" width="12.7109375" style="28" customWidth="1"/>
    <col min="46" max="46" width="5" style="28" customWidth="1"/>
    <col min="47" max="47" width="12.7109375" style="28" customWidth="1"/>
    <col min="48" max="48" width="5" style="28" customWidth="1"/>
    <col min="49" max="49" width="12.7109375" style="28" customWidth="1"/>
    <col min="50" max="53" width="4.7109375" style="28" customWidth="1"/>
    <col min="54" max="54" width="12.7109375" style="28" customWidth="1"/>
    <col min="55" max="56" width="4.7109375" style="28" customWidth="1"/>
    <col min="57" max="57" width="12.7109375" style="28" customWidth="1"/>
    <col min="58" max="59" width="4.7109375" style="28" customWidth="1"/>
    <col min="60" max="60" width="12.7109375" style="28" customWidth="1"/>
    <col min="61" max="62" width="4.7109375" style="28" customWidth="1"/>
    <col min="63" max="63" width="7.7109375" style="28" customWidth="1"/>
    <col min="64" max="64" width="12.7109375" style="28" customWidth="1"/>
    <col min="65" max="67" width="4.7109375" style="28" customWidth="1"/>
    <col min="68" max="68" width="12.7109375" style="28" customWidth="1"/>
    <col min="69" max="71" width="4.7109375" style="28" customWidth="1"/>
    <col min="72" max="72" width="12.7109375" style="28" customWidth="1"/>
    <col min="73" max="75" width="4.7109375" style="28" customWidth="1"/>
    <col min="76" max="76" width="12.7109375" style="28" customWidth="1"/>
    <col min="77" max="83" width="3.7109375" style="28" customWidth="1"/>
    <col min="84" max="16384" width="9.140625" style="28"/>
  </cols>
  <sheetData>
    <row r="2" spans="1:84" x14ac:dyDescent="0.2">
      <c r="A2" s="463" t="str">
        <f>'1-zapasy'!A1</f>
        <v>skupina A1</v>
      </c>
      <c r="B2" s="464"/>
      <c r="C2" s="464"/>
      <c r="D2" s="464"/>
      <c r="E2" s="464"/>
      <c r="F2" s="28" t="s">
        <v>67</v>
      </c>
      <c r="G2" s="465" t="str">
        <f>A4</f>
        <v>GRABOVSKÝ Jaroslav (SKST Hodonín)</v>
      </c>
      <c r="H2" s="465"/>
      <c r="I2" s="465"/>
      <c r="J2" s="465"/>
      <c r="K2" s="465"/>
      <c r="L2" s="465"/>
      <c r="M2" s="465"/>
      <c r="N2" s="465" t="str">
        <f>E4</f>
        <v/>
      </c>
      <c r="O2" s="465"/>
      <c r="P2" s="465"/>
      <c r="Q2" s="465"/>
      <c r="R2" s="465"/>
      <c r="S2" s="465"/>
      <c r="T2" s="465"/>
      <c r="U2" s="465" t="str">
        <f>A5</f>
        <v>ŠTĚPÁNEK Ondřej (KST Blansko)</v>
      </c>
      <c r="V2" s="465"/>
      <c r="W2" s="465"/>
      <c r="X2" s="465"/>
      <c r="Y2" s="465"/>
      <c r="Z2" s="465"/>
      <c r="AA2" s="465"/>
      <c r="AB2" s="465" t="str">
        <f>E5</f>
        <v>KURDIOVSKÝ Matěj (TTC Koral Tišnov)</v>
      </c>
      <c r="AC2" s="465"/>
      <c r="AD2" s="465"/>
      <c r="AE2" s="465"/>
      <c r="AF2" s="465"/>
      <c r="AG2" s="465"/>
      <c r="AH2" s="465"/>
      <c r="AJ2" s="465" t="s">
        <v>68</v>
      </c>
      <c r="AK2" s="465"/>
      <c r="AL2" s="465"/>
      <c r="AM2" s="465"/>
      <c r="AN2" s="465"/>
      <c r="AO2" s="465"/>
      <c r="AP2" s="465"/>
      <c r="AQ2" s="465"/>
      <c r="BX2" s="28" t="s">
        <v>69</v>
      </c>
    </row>
    <row r="3" spans="1:84" x14ac:dyDescent="0.2">
      <c r="A3" s="464"/>
      <c r="B3" s="464"/>
      <c r="C3" s="464"/>
      <c r="D3" s="464"/>
      <c r="E3" s="464"/>
      <c r="F3" s="28" t="s">
        <v>70</v>
      </c>
      <c r="G3" s="28" t="s">
        <v>71</v>
      </c>
      <c r="H3" s="28" t="s">
        <v>72</v>
      </c>
      <c r="I3" s="28" t="s">
        <v>73</v>
      </c>
      <c r="J3" s="28" t="s">
        <v>74</v>
      </c>
      <c r="K3" s="28" t="s">
        <v>75</v>
      </c>
      <c r="L3" s="28" t="s">
        <v>76</v>
      </c>
      <c r="M3" s="28" t="s">
        <v>77</v>
      </c>
      <c r="N3" s="28" t="s">
        <v>71</v>
      </c>
      <c r="O3" s="28" t="s">
        <v>72</v>
      </c>
      <c r="P3" s="28" t="s">
        <v>73</v>
      </c>
      <c r="Q3" s="28" t="s">
        <v>74</v>
      </c>
      <c r="R3" s="28" t="s">
        <v>75</v>
      </c>
      <c r="S3" s="28" t="s">
        <v>76</v>
      </c>
      <c r="T3" s="28" t="s">
        <v>77</v>
      </c>
      <c r="U3" s="28" t="s">
        <v>71</v>
      </c>
      <c r="V3" s="28" t="s">
        <v>72</v>
      </c>
      <c r="W3" s="28" t="s">
        <v>73</v>
      </c>
      <c r="X3" s="28" t="s">
        <v>74</v>
      </c>
      <c r="Y3" s="28" t="s">
        <v>75</v>
      </c>
      <c r="Z3" s="28" t="s">
        <v>76</v>
      </c>
      <c r="AA3" s="28" t="s">
        <v>77</v>
      </c>
      <c r="AB3" s="28" t="s">
        <v>71</v>
      </c>
      <c r="AC3" s="28" t="s">
        <v>72</v>
      </c>
      <c r="AD3" s="28" t="s">
        <v>73</v>
      </c>
      <c r="AE3" s="28" t="s">
        <v>74</v>
      </c>
      <c r="AF3" s="28" t="s">
        <v>75</v>
      </c>
      <c r="AG3" s="28" t="s">
        <v>76</v>
      </c>
      <c r="AH3" s="28" t="s">
        <v>77</v>
      </c>
      <c r="AK3" s="28" t="s">
        <v>71</v>
      </c>
      <c r="AL3" s="28" t="s">
        <v>72</v>
      </c>
      <c r="AM3" s="28" t="s">
        <v>73</v>
      </c>
      <c r="AN3" s="28" t="s">
        <v>74</v>
      </c>
      <c r="AO3" s="28" t="s">
        <v>75</v>
      </c>
      <c r="AP3" s="28" t="s">
        <v>76</v>
      </c>
      <c r="AQ3" s="28" t="s">
        <v>77</v>
      </c>
      <c r="AS3" s="28" t="s">
        <v>78</v>
      </c>
      <c r="AU3" s="28" t="s">
        <v>79</v>
      </c>
      <c r="AW3" s="28" t="s">
        <v>80</v>
      </c>
      <c r="AY3" s="28" t="s">
        <v>81</v>
      </c>
      <c r="BB3" s="28" t="s">
        <v>82</v>
      </c>
      <c r="BE3" s="28" t="s">
        <v>83</v>
      </c>
      <c r="BH3" s="28" t="s">
        <v>84</v>
      </c>
      <c r="BK3" s="28" t="s">
        <v>85</v>
      </c>
      <c r="BL3" s="28" t="s">
        <v>86</v>
      </c>
      <c r="BP3" s="28" t="s">
        <v>87</v>
      </c>
      <c r="BT3" s="28" t="s">
        <v>88</v>
      </c>
      <c r="BY3" s="28" t="s">
        <v>65</v>
      </c>
      <c r="BZ3" s="28" t="s">
        <v>89</v>
      </c>
      <c r="CA3" s="28" t="s">
        <v>58</v>
      </c>
      <c r="CB3" s="28" t="s">
        <v>90</v>
      </c>
      <c r="CC3" s="28" t="s">
        <v>51</v>
      </c>
      <c r="CD3" s="28" t="s">
        <v>53</v>
      </c>
      <c r="CE3" s="28" t="s">
        <v>91</v>
      </c>
    </row>
    <row r="4" spans="1:84" x14ac:dyDescent="0.2">
      <c r="A4" s="27" t="str">
        <f>'1-zapasy'!B3</f>
        <v>GRABOVSKÝ Jaroslav (SKST Hodonín)</v>
      </c>
      <c r="B4" s="220" t="str">
        <f>'1-zapasy'!I3</f>
        <v/>
      </c>
      <c r="C4" s="220" t="e">
        <f>'3-zapasy'!#REF!</f>
        <v>#REF!</v>
      </c>
      <c r="D4" s="220" t="str">
        <f>'1-zapasy'!J3</f>
        <v/>
      </c>
      <c r="E4" s="27" t="str">
        <f>'1-zapasy'!C3</f>
        <v/>
      </c>
      <c r="F4" s="28">
        <f>COUNTBLANK('1-zapasy'!I3:'1-zapasy'!J3)</f>
        <v>2</v>
      </c>
      <c r="G4" s="28">
        <f>IF(AND(F4=0,OR($A4=$G2,$E4=$G2)),1,0)</f>
        <v>0</v>
      </c>
      <c r="H4" s="28">
        <f>IF(AND(F4=0,OR(AND($A4=$G2,$B4&gt;$D4),AND($E4=$G2,$D4&gt;$B4))),1,0)</f>
        <v>0</v>
      </c>
      <c r="I4" s="28">
        <f t="shared" ref="I4:I9" si="0">IF(AND(F4=0,G4=1,$B4=$D4),1,0)</f>
        <v>0</v>
      </c>
      <c r="J4" s="28">
        <f>IF(AND(F4=0,OR(AND($A4=$G2,$B4&lt;$D4),AND($E4=$G2,$D4&lt;$B4))),1,0)</f>
        <v>0</v>
      </c>
      <c r="K4" s="28">
        <f>IF(F4&gt;0,0,IF($A4=$G2,$B4,IF($E4=$G2,$D4,0)))</f>
        <v>0</v>
      </c>
      <c r="L4" s="28">
        <f>IF(F4&gt;0,0,IF($A4=$G2,$D4,IF($E4=$G2,$B4,0)))</f>
        <v>0</v>
      </c>
      <c r="M4">
        <f t="shared" ref="M4:M9" si="1">(($H4*$B$10)+$I4)</f>
        <v>0</v>
      </c>
      <c r="N4">
        <f>IF(AND(F4=0,OR($A4=$N2,$E4=$N2)),1,0)</f>
        <v>0</v>
      </c>
      <c r="O4">
        <f>IF(AND(F4=0,OR(AND($A4=$N2,$B4&gt;$D4),AND($E4=$N2,$D4&gt;$B4))),1,0)</f>
        <v>0</v>
      </c>
      <c r="P4">
        <f t="shared" ref="P4:P9" si="2">IF(AND(F4=0,N4=1,$B4=$D4),1,0)</f>
        <v>0</v>
      </c>
      <c r="Q4">
        <f>IF(AND(F4=0,OR(AND($A4=$N2,$B4&lt;$D4),AND($E4=$N2,$D4&lt;$B4))),1,0)</f>
        <v>0</v>
      </c>
      <c r="R4">
        <f>IF(F4&gt;0,0,IF($A4=$N2,$B4,IF($E4=$N2,$D4,0)))</f>
        <v>0</v>
      </c>
      <c r="S4">
        <f>IF(F4&gt;0,0,IF($A4=$N2,$D4,IF($E4=$N2,$B4,0)))</f>
        <v>0</v>
      </c>
      <c r="T4">
        <f t="shared" ref="T4:T9" si="3">(($O4*$B$10)+$P4)</f>
        <v>0</v>
      </c>
      <c r="U4">
        <f>IF(AND(F4=0,OR($A4=$U2,$E4=$U2)),1,0)</f>
        <v>0</v>
      </c>
      <c r="V4">
        <f>IF(AND(F4=0,OR(AND($A4=$U2,$B4&gt;$D4),AND($E4=$U2,$D4&gt;$B4))),1,0)</f>
        <v>0</v>
      </c>
      <c r="W4">
        <f t="shared" ref="W4:W9" si="4">IF(AND(F4=0,U4=1,$B4=$D4),1,0)</f>
        <v>0</v>
      </c>
      <c r="X4">
        <f>IF(AND(F4=0,OR(AND($A4=$U2,$B4&lt;$D4),AND($E4=$U2,$D4&lt;$B4))),1,0)</f>
        <v>0</v>
      </c>
      <c r="Y4">
        <f>IF(F4&gt;0,0,IF($A4=$U2,$B4,IF($E4=$U2,$D4,0)))</f>
        <v>0</v>
      </c>
      <c r="Z4">
        <f>IF(F4&gt;0,0,IF($A4=$U2,$D4,IF($E4=$U2,$B4,0)))</f>
        <v>0</v>
      </c>
      <c r="AA4">
        <f t="shared" ref="AA4:AA9" si="5">(($V4*$B$10)+$W4)</f>
        <v>0</v>
      </c>
      <c r="AB4">
        <f>IF(AND(F4=0,OR($A4=$AB2,$E4=$AB2)),1,0)</f>
        <v>0</v>
      </c>
      <c r="AC4">
        <f>IF(AND(F4=0,OR(AND($A4=$AB2,$B4&gt;$D4),AND($E4=$AB2,$D4&gt;$B4))),1,0)</f>
        <v>0</v>
      </c>
      <c r="AD4">
        <f t="shared" ref="AD4:AD9" si="6">IF(AND(F4=0,AB4=1,$B4=$D4),1,0)</f>
        <v>0</v>
      </c>
      <c r="AE4">
        <f>IF(AND(F4=0,OR(AND($A4=$AB2,$B4&lt;$D4),AND($E4=$AB2,$D4&lt;$B4))),1,0)</f>
        <v>0</v>
      </c>
      <c r="AF4">
        <f>IF(F4&gt;0,0,IF($A4=$AB2,$B4,IF($E4=$AB2,$D4,0)))</f>
        <v>0</v>
      </c>
      <c r="AG4">
        <f>IF(F4&gt;0,0,IF($A4=$AB2,$D4,IF($E4=$AB2,$B4,0)))</f>
        <v>0</v>
      </c>
      <c r="AH4">
        <f t="shared" ref="AH4:AH9" si="7">(($AC4*$B$10)+$AD4)</f>
        <v>0</v>
      </c>
      <c r="AJ4" s="28" t="str">
        <f>G2</f>
        <v>GRABOVSKÝ Jaroslav (SKST Hodonín)</v>
      </c>
      <c r="AK4" s="28">
        <f t="shared" ref="AK4:AQ4" si="8">G10</f>
        <v>2</v>
      </c>
      <c r="AL4" s="28">
        <f t="shared" si="8"/>
        <v>2</v>
      </c>
      <c r="AM4" s="28">
        <f t="shared" si="8"/>
        <v>0</v>
      </c>
      <c r="AN4" s="28">
        <f t="shared" si="8"/>
        <v>0</v>
      </c>
      <c r="AO4" s="28">
        <f t="shared" si="8"/>
        <v>6</v>
      </c>
      <c r="AP4" s="28">
        <f t="shared" si="8"/>
        <v>0</v>
      </c>
      <c r="AQ4" s="28">
        <f t="shared" si="8"/>
        <v>4</v>
      </c>
      <c r="AS4" s="28" t="str">
        <f>IF($AQ4&gt;=$AQ5,$AJ4,$AJ5)</f>
        <v>GRABOVSKÝ Jaroslav (SKST Hodonín)</v>
      </c>
      <c r="AT4" s="28">
        <f>VLOOKUP(AS4,$AJ4:$AQ7,8,FALSE)</f>
        <v>4</v>
      </c>
      <c r="AU4" s="28" t="str">
        <f>IF($AT4&gt;=$AT6,$AS4,$AS6)</f>
        <v>GRABOVSKÝ Jaroslav (SKST Hodonín)</v>
      </c>
      <c r="AV4" s="28">
        <f>VLOOKUP(AU4,$AS4:$AT7,2,FALSE)</f>
        <v>4</v>
      </c>
      <c r="AW4" s="28" t="str">
        <f>IF($AV4&gt;=$AV7,$AU4,$AU7)</f>
        <v>GRABOVSKÝ Jaroslav (SKST Hodonín)</v>
      </c>
      <c r="AX4" s="28">
        <f>VLOOKUP(AW4,$AU4:$AV7,2,FALSE)</f>
        <v>4</v>
      </c>
      <c r="AY4" s="28">
        <f>VLOOKUP(AW4,$AJ4:$AQ7,6,FALSE)</f>
        <v>6</v>
      </c>
      <c r="AZ4" s="28">
        <f>VLOOKUP(AW4,$AJ4:$AQ7,7,FALSE)</f>
        <v>0</v>
      </c>
      <c r="BA4" s="28">
        <f>AY4-AZ4</f>
        <v>6</v>
      </c>
      <c r="BB4" s="28" t="str">
        <f>IF(AND($AX4=$AX5,$BA5&gt;$BA4),$AW5,$AW4)</f>
        <v>GRABOVSKÝ Jaroslav (SKST Hodonín)</v>
      </c>
      <c r="BC4" s="28">
        <f>VLOOKUP(BB4,$AW4:$BA7,2,FALSE)</f>
        <v>4</v>
      </c>
      <c r="BD4" s="28">
        <f>VLOOKUP(BB4,$AW4:$BA7,5,FALSE)</f>
        <v>6</v>
      </c>
      <c r="BE4" s="28" t="str">
        <f>IF(AND($BC4=$BC6,$BD6&gt;$BD4),$BB6,$BB4)</f>
        <v>GRABOVSKÝ Jaroslav (SKST Hodonín)</v>
      </c>
      <c r="BF4" s="28">
        <f>VLOOKUP(BE4,$BB4:$BD7,2,FALSE)</f>
        <v>4</v>
      </c>
      <c r="BG4" s="28">
        <f>VLOOKUP(BE4,$BB4:$BD7,3,FALSE)</f>
        <v>6</v>
      </c>
      <c r="BH4" s="28" t="str">
        <f>IF(AND($BF4=$BF7,$BG7&gt;$BG4),$BE7,$BE4)</f>
        <v>GRABOVSKÝ Jaroslav (SKST Hodonín)</v>
      </c>
      <c r="BI4" s="28">
        <f>VLOOKUP(BH4,$BE4:$BG7,2,FALSE)</f>
        <v>4</v>
      </c>
      <c r="BJ4" s="28">
        <f>VLOOKUP(BH4,$BE4:$BG7,3,FALSE)</f>
        <v>6</v>
      </c>
      <c r="BK4" s="28">
        <f>VLOOKUP(BH4,$AJ4:$AQ7,6,FALSE)</f>
        <v>6</v>
      </c>
      <c r="BL4" s="28" t="str">
        <f>IF(AND($BI4=$BI5,$BJ4=$BJ5,$BK5&gt;$BK4),$BH5,$BH4)</f>
        <v>GRABOVSKÝ Jaroslav (SKST Hodonín)</v>
      </c>
      <c r="BM4" s="28">
        <f>VLOOKUP(BL4,$BH4:$BK7,2,FALSE)</f>
        <v>4</v>
      </c>
      <c r="BN4" s="28">
        <f>VLOOKUP(BL4,$BH4:$BK7,3,FALSE)</f>
        <v>6</v>
      </c>
      <c r="BO4" s="28">
        <f>VLOOKUP(BL4,$BH4:$BK7,4,FALSE)</f>
        <v>6</v>
      </c>
      <c r="BP4" s="28" t="str">
        <f>IF(AND($BM4=$BM6,$BN4=$BN6,$BO6&gt;$BO4),$BL6,$BL4)</f>
        <v>GRABOVSKÝ Jaroslav (SKST Hodonín)</v>
      </c>
      <c r="BQ4" s="28">
        <f>VLOOKUP(BP4,$BL4:$BO7,2,FALSE)</f>
        <v>4</v>
      </c>
      <c r="BR4" s="28">
        <f>VLOOKUP(BP4,$BL4:$BO7,3,FALSE)</f>
        <v>6</v>
      </c>
      <c r="BS4" s="28">
        <f>VLOOKUP(BP4,$BL4:$BO7,4,FALSE)</f>
        <v>6</v>
      </c>
      <c r="BT4" s="28" t="str">
        <f>IF(AND($BQ4=$BQ7,$BR4=$BR7,$BS7&gt;$BS4),$BP7,$BP4)</f>
        <v>GRABOVSKÝ Jaroslav (SKST Hodonín)</v>
      </c>
      <c r="BU4" s="28">
        <f>VLOOKUP(BT4,$BP4:$BS7,2,FALSE)</f>
        <v>4</v>
      </c>
      <c r="BV4" s="28">
        <f>VLOOKUP(BT4,$BP4:$BS7,3,FALSE)</f>
        <v>6</v>
      </c>
      <c r="BW4" s="28">
        <f>VLOOKUP(BT4,$BP4:$BS7,4,FALSE)</f>
        <v>6</v>
      </c>
      <c r="BX4" s="28" t="str">
        <f>BT4</f>
        <v>GRABOVSKÝ Jaroslav (SKST Hodonín)</v>
      </c>
      <c r="BY4" s="28">
        <f>VLOOKUP($BX4,$AJ4:$AQ7,2,FALSE)</f>
        <v>2</v>
      </c>
      <c r="BZ4" s="28">
        <f>VLOOKUP($BX4,$AJ4:$AQ7,3,FALSE)</f>
        <v>2</v>
      </c>
      <c r="CA4" s="28">
        <f>VLOOKUP($BX4,$AJ4:$AQ7,4,FALSE)</f>
        <v>0</v>
      </c>
      <c r="CB4" s="28">
        <f>VLOOKUP($BX4,$AJ4:$AQ7,5,FALSE)</f>
        <v>0</v>
      </c>
      <c r="CC4" s="28">
        <f>VLOOKUP($BX4,$AJ4:$AQ7,6,FALSE)</f>
        <v>6</v>
      </c>
      <c r="CD4" s="28">
        <f>VLOOKUP($BX4,$AJ4:$AQ7,7,FALSE)</f>
        <v>0</v>
      </c>
      <c r="CE4" s="28">
        <f>VLOOKUP($BX4,$AJ4:$AQ7,8,FALSE)</f>
        <v>4</v>
      </c>
      <c r="CF4" s="128" t="str">
        <f>CONCATENATE(CC4,":",CD4)</f>
        <v>6:0</v>
      </c>
    </row>
    <row r="5" spans="1:84" x14ac:dyDescent="0.2">
      <c r="A5" s="27" t="str">
        <f>'1-zapasy'!B4</f>
        <v>ŠTĚPÁNEK Ondřej (KST Blansko)</v>
      </c>
      <c r="B5" s="220">
        <f>'1-zapasy'!I4</f>
        <v>3</v>
      </c>
      <c r="C5" s="220" t="e">
        <f>'3-zapasy'!#REF!</f>
        <v>#REF!</v>
      </c>
      <c r="D5" s="220">
        <f>'1-zapasy'!J4</f>
        <v>1</v>
      </c>
      <c r="E5" s="27" t="str">
        <f>'1-zapasy'!C4</f>
        <v>KURDIOVSKÝ Matěj (TTC Koral Tišnov)</v>
      </c>
      <c r="F5" s="28">
        <f>COUNTBLANK('1-zapasy'!I4:'1-zapasy'!J4)</f>
        <v>0</v>
      </c>
      <c r="G5" s="28">
        <f>IF(AND(F5=0,OR($A5=$G2,$E5=$G2)),1,0)</f>
        <v>0</v>
      </c>
      <c r="H5" s="28">
        <f>IF(AND(F5=0,OR(AND($A5=$G2,$B5&gt;$D5),AND($E5=$G2,$D5&gt;$B5))),1,0)</f>
        <v>0</v>
      </c>
      <c r="I5" s="28">
        <f t="shared" si="0"/>
        <v>0</v>
      </c>
      <c r="J5" s="28">
        <f>IF(AND(F5=0,OR(AND($A5=$G2,$B5&lt;$D5),AND($E5=$G2,$D5&lt;$B5))),1,0)</f>
        <v>0</v>
      </c>
      <c r="K5" s="28">
        <f>IF(F5&gt;0,0,IF($A5=$G2,$B5,IF($E5=$G2,$D5,0)))</f>
        <v>0</v>
      </c>
      <c r="L5" s="28">
        <f>IF(F5&gt;0,0,IF($A5=$G2,$D5,IF($E5=$G2,$B5,0)))</f>
        <v>0</v>
      </c>
      <c r="M5">
        <f t="shared" si="1"/>
        <v>0</v>
      </c>
      <c r="N5">
        <f>IF(AND(F5=0,OR($A5=$N2,$E5=$N2)),1,0)</f>
        <v>0</v>
      </c>
      <c r="O5">
        <f>IF(AND(F5=0,OR(AND($A5=$N2,$B5&gt;$D5),AND($E5=$N2,$D5&gt;$B5))),1,0)</f>
        <v>0</v>
      </c>
      <c r="P5">
        <f t="shared" si="2"/>
        <v>0</v>
      </c>
      <c r="Q5">
        <f>IF(AND(F5=0,OR(AND($A5=$N2,$B5&lt;$D5),AND($E5=$N2,$D5&lt;$B5))),1,0)</f>
        <v>0</v>
      </c>
      <c r="R5">
        <f>IF(F5&gt;0,0,IF($A5=$N2,$B5,IF($E5=$N2,$D5,0)))</f>
        <v>0</v>
      </c>
      <c r="S5">
        <f>IF(F5&gt;0,0,IF($A5=$N2,$D5,IF($E5=$N2,$B5,0)))</f>
        <v>0</v>
      </c>
      <c r="T5">
        <f t="shared" si="3"/>
        <v>0</v>
      </c>
      <c r="U5">
        <f>IF(AND(F5=0,OR($A5=$U2,$E5=$U2)),1,0)</f>
        <v>1</v>
      </c>
      <c r="V5">
        <f>IF(AND(F5=0,OR(AND($A5=$U2,$B5&gt;$D5),AND($E5=$U2,$D5&gt;$B5))),1,0)</f>
        <v>1</v>
      </c>
      <c r="W5">
        <f t="shared" si="4"/>
        <v>0</v>
      </c>
      <c r="X5">
        <f>IF(AND(F5=0,OR(AND($A5=$U2,$B5&lt;$D5),AND($E5=$U2,$D5&lt;$B5))),1,0)</f>
        <v>0</v>
      </c>
      <c r="Y5">
        <f>IF(F5&gt;0,0,IF($A5=$U2,$B5,IF($E5=$U2,$D5,0)))</f>
        <v>3</v>
      </c>
      <c r="Z5">
        <f>IF(F5&gt;0,0,IF($A5=$U2,$D5,IF($E5=$U2,$B5,0)))</f>
        <v>1</v>
      </c>
      <c r="AA5">
        <f t="shared" si="5"/>
        <v>2</v>
      </c>
      <c r="AB5">
        <f>IF(AND(F5=0,OR($A5=$AB2,$E5=$AB2)),1,0)</f>
        <v>1</v>
      </c>
      <c r="AC5">
        <f>IF(AND(F5=0,OR(AND($A5=$AB2,$B5&gt;$D5),AND($E5=$AB2,$D5&gt;$B5))),1,0)</f>
        <v>0</v>
      </c>
      <c r="AD5">
        <f t="shared" si="6"/>
        <v>0</v>
      </c>
      <c r="AE5">
        <f>IF(AND(F5=0,OR(AND($A5=$AB2,$B5&lt;$D5),AND($E5=$AB2,$D5&lt;$B5))),1,0)</f>
        <v>1</v>
      </c>
      <c r="AF5">
        <f>IF(F5&gt;0,0,IF($A5=$AB2,$B5,IF($E5=$AB2,$D5,0)))</f>
        <v>1</v>
      </c>
      <c r="AG5">
        <f>IF(F5&gt;0,0,IF($A5=$AB2,$D5,IF($E5=$AB2,$B5,0)))</f>
        <v>3</v>
      </c>
      <c r="AH5">
        <f t="shared" si="7"/>
        <v>0</v>
      </c>
      <c r="AJ5" s="28" t="str">
        <f>N2</f>
        <v/>
      </c>
      <c r="AK5" s="28">
        <f t="shared" ref="AK5:AQ5" si="9">N10</f>
        <v>0</v>
      </c>
      <c r="AL5" s="28">
        <f t="shared" si="9"/>
        <v>0</v>
      </c>
      <c r="AM5" s="28">
        <f t="shared" si="9"/>
        <v>0</v>
      </c>
      <c r="AN5" s="28">
        <f t="shared" si="9"/>
        <v>0</v>
      </c>
      <c r="AO5" s="28">
        <f t="shared" si="9"/>
        <v>0</v>
      </c>
      <c r="AP5" s="28">
        <f t="shared" si="9"/>
        <v>0</v>
      </c>
      <c r="AQ5" s="28">
        <f t="shared" si="9"/>
        <v>0</v>
      </c>
      <c r="AS5" s="28" t="str">
        <f>IF($AQ5&lt;=$AQ4,$AJ5,$AJ4)</f>
        <v/>
      </c>
      <c r="AT5" s="28">
        <f>VLOOKUP(AS5,$AJ4:$AQ7,8,FALSE)</f>
        <v>0</v>
      </c>
      <c r="AU5" s="28" t="str">
        <f>IF($AT5&gt;=$AT7,$AS5,$AS7)</f>
        <v/>
      </c>
      <c r="AV5" s="28">
        <f>VLOOKUP(AU5,$AS4:$AT7,2,FALSE)</f>
        <v>0</v>
      </c>
      <c r="AW5" s="28" t="str">
        <f>IF($AV5&gt;=$AV6,$AU5,$AU6)</f>
        <v>ŠTĚPÁNEK Ondřej (KST Blansko)</v>
      </c>
      <c r="AX5" s="28">
        <f>VLOOKUP(AW5,$AU4:$AV7,2,FALSE)</f>
        <v>2</v>
      </c>
      <c r="AY5" s="28">
        <f>VLOOKUP(AW5,$AJ4:$AQ7,6,FALSE)</f>
        <v>3</v>
      </c>
      <c r="AZ5" s="28">
        <f>VLOOKUP(AW5,$AJ4:$AQ7,7,FALSE)</f>
        <v>4</v>
      </c>
      <c r="BA5" s="28">
        <f>AY5-AZ5</f>
        <v>-1</v>
      </c>
      <c r="BB5" s="28" t="str">
        <f>IF(AND($AX4=$AX5,$BA5&gt;$BA4),$AW4,$AW5)</f>
        <v>ŠTĚPÁNEK Ondřej (KST Blansko)</v>
      </c>
      <c r="BC5" s="28">
        <f>VLOOKUP(BB5,$AW4:$BA7,2,FALSE)</f>
        <v>2</v>
      </c>
      <c r="BD5" s="28">
        <f>VLOOKUP(BB5,$AW4:$BA7,5,FALSE)</f>
        <v>-1</v>
      </c>
      <c r="BE5" s="28" t="str">
        <f>IF(AND($BC5=$BC7,$BD7&gt;$BD5),$BB7,$BB5)</f>
        <v>ŠTĚPÁNEK Ondřej (KST Blansko)</v>
      </c>
      <c r="BF5" s="28">
        <f>VLOOKUP(BE5,$BB4:$BD7,2,FALSE)</f>
        <v>2</v>
      </c>
      <c r="BG5" s="28">
        <f>VLOOKUP(BE5,$BB4:$BD7,3,FALSE)</f>
        <v>-1</v>
      </c>
      <c r="BH5" s="28" t="str">
        <f>IF(AND($BF5=$BF6,$BG6&gt;$BG5),$BE6,$BE5)</f>
        <v>ŠTĚPÁNEK Ondřej (KST Blansko)</v>
      </c>
      <c r="BI5" s="28">
        <f>VLOOKUP(BH5,$BE4:$BG7,2,FALSE)</f>
        <v>2</v>
      </c>
      <c r="BJ5" s="28">
        <f>VLOOKUP(BH5,$BE4:$BG7,3,FALSE)</f>
        <v>-1</v>
      </c>
      <c r="BK5" s="28">
        <f>VLOOKUP(BH5,$AJ4:$AQ7,6,FALSE)</f>
        <v>3</v>
      </c>
      <c r="BL5" s="28" t="str">
        <f>IF(AND($BI4=$BI5,$BJ4=$BJ5,$BK5&gt;$BK4),$BH4,$BH5)</f>
        <v>ŠTĚPÁNEK Ondřej (KST Blansko)</v>
      </c>
      <c r="BM5" s="28">
        <f>VLOOKUP(BL5,$BH4:$BK7,2,FALSE)</f>
        <v>2</v>
      </c>
      <c r="BN5" s="28">
        <f>VLOOKUP(BL5,$BH4:$BK7,3,FALSE)</f>
        <v>-1</v>
      </c>
      <c r="BO5" s="28">
        <f>VLOOKUP(BL5,$BH4:$BK7,4,FALSE)</f>
        <v>3</v>
      </c>
      <c r="BP5" s="28" t="str">
        <f>IF(AND($BM5=$BM7,$BN5=$BN7,$BO7&gt;$BO5),$BL7,$BL5)</f>
        <v>ŠTĚPÁNEK Ondřej (KST Blansko)</v>
      </c>
      <c r="BQ5" s="28">
        <f>VLOOKUP(BP5,$BL4:$BO7,2,FALSE)</f>
        <v>2</v>
      </c>
      <c r="BR5" s="28">
        <f>VLOOKUP(BP5,$BL4:$BO7,3,FALSE)</f>
        <v>-1</v>
      </c>
      <c r="BS5" s="28">
        <f>VLOOKUP(BP5,$BL4:$BO7,4,FALSE)</f>
        <v>3</v>
      </c>
      <c r="BT5" s="28" t="str">
        <f>IF(AND($BQ5=$BQ6,$BR5=$BR6,$BS6&gt;$BS5),$BP6,$BP5)</f>
        <v>ŠTĚPÁNEK Ondřej (KST Blansko)</v>
      </c>
      <c r="BU5" s="28">
        <f>VLOOKUP(BT5,$BP4:$BS7,2,FALSE)</f>
        <v>2</v>
      </c>
      <c r="BV5" s="28">
        <f>VLOOKUP(BT5,$BP4:$BS7,3,FALSE)</f>
        <v>-1</v>
      </c>
      <c r="BW5" s="28">
        <f>VLOOKUP(BT5,$BP4:$BS7,4,FALSE)</f>
        <v>3</v>
      </c>
      <c r="BX5" s="28" t="str">
        <f>BT5</f>
        <v>ŠTĚPÁNEK Ondřej (KST Blansko)</v>
      </c>
      <c r="BY5" s="28">
        <f>VLOOKUP($BX5,$AJ4:$AQ7,2,FALSE)</f>
        <v>2</v>
      </c>
      <c r="BZ5" s="28">
        <f>VLOOKUP($BX5,$AJ4:$AQ7,3,FALSE)</f>
        <v>1</v>
      </c>
      <c r="CA5" s="28">
        <f>VLOOKUP($BX5,$AJ4:$AQ7,4,FALSE)</f>
        <v>0</v>
      </c>
      <c r="CB5" s="28">
        <f>VLOOKUP($BX5,$AJ4:$AQ7,5,FALSE)</f>
        <v>1</v>
      </c>
      <c r="CC5" s="28">
        <f>VLOOKUP($BX5,$AJ4:$AQ7,6,FALSE)</f>
        <v>3</v>
      </c>
      <c r="CD5" s="28">
        <f>VLOOKUP($BX5,$AJ4:$AQ7,7,FALSE)</f>
        <v>4</v>
      </c>
      <c r="CE5" s="28">
        <f>VLOOKUP($BX5,$AJ4:$AQ7,8,FALSE)</f>
        <v>2</v>
      </c>
      <c r="CF5" s="128" t="str">
        <f>CONCATENATE(CC5,":",CD5)</f>
        <v>3:4</v>
      </c>
    </row>
    <row r="6" spans="1:84" x14ac:dyDescent="0.2">
      <c r="A6" s="27" t="str">
        <f>'1-zapasy'!B5</f>
        <v/>
      </c>
      <c r="B6" s="220" t="str">
        <f>'1-zapasy'!I5</f>
        <v/>
      </c>
      <c r="C6" s="220" t="e">
        <f>'3-zapasy'!#REF!</f>
        <v>#REF!</v>
      </c>
      <c r="D6" s="220" t="str">
        <f>'1-zapasy'!J5</f>
        <v/>
      </c>
      <c r="E6" s="27" t="str">
        <f>'1-zapasy'!C5</f>
        <v>ŠTĚPÁNEK Ondřej (KST Blansko)</v>
      </c>
      <c r="F6" s="28">
        <f>COUNTBLANK('1-zapasy'!I5:'1-zapasy'!J5)</f>
        <v>2</v>
      </c>
      <c r="G6" s="28">
        <f>IF(AND(F6=0,OR($A6=$G2,$E6=$G2)),1,0)</f>
        <v>0</v>
      </c>
      <c r="H6" s="28">
        <f>IF(AND(F6=0,OR(AND($A6=$G2,$B6&gt;$D6),AND($E6=$G2,$D6&gt;$B6))),1,0)</f>
        <v>0</v>
      </c>
      <c r="I6" s="28">
        <f t="shared" si="0"/>
        <v>0</v>
      </c>
      <c r="J6" s="28">
        <f>IF(AND(F6=0,OR(AND($A6=$G2,$B6&lt;$D6),AND($E6=$G2,$D6&lt;$B6))),1,0)</f>
        <v>0</v>
      </c>
      <c r="K6" s="28">
        <f>IF(F6&gt;0,0,IF($A6=$G2,$B6,IF($E6=$G2,$D6,0)))</f>
        <v>0</v>
      </c>
      <c r="L6" s="28">
        <f>IF(F6&gt;0,0,IF($A6=$G2,$D6,IF($E6=$G2,$B6,0)))</f>
        <v>0</v>
      </c>
      <c r="M6">
        <f t="shared" si="1"/>
        <v>0</v>
      </c>
      <c r="N6">
        <f>IF(AND(F6=0,OR($A6=$N2,$E6=$N2)),1,0)</f>
        <v>0</v>
      </c>
      <c r="O6">
        <f>IF(AND(F6=0,OR(AND($A6=$N2,$B6&gt;$D6),AND($E6=$N2,$D6&gt;$B6))),1,0)</f>
        <v>0</v>
      </c>
      <c r="P6">
        <f t="shared" si="2"/>
        <v>0</v>
      </c>
      <c r="Q6">
        <f>IF(AND(F6=0,OR(AND($A6=$N2,$B6&lt;$D6),AND($E6=$N2,$D6&lt;$B6))),1,0)</f>
        <v>0</v>
      </c>
      <c r="R6">
        <f>IF(F6&gt;0,0,IF($A6=$N2,$B6,IF($E6=$N2,$D6,0)))</f>
        <v>0</v>
      </c>
      <c r="S6">
        <f>IF(F6&gt;0,0,IF($A6=$N2,$D6,IF($E6=$N2,$B6,0)))</f>
        <v>0</v>
      </c>
      <c r="T6">
        <f t="shared" si="3"/>
        <v>0</v>
      </c>
      <c r="U6">
        <f>IF(AND(F6=0,OR($A6=$U2,$E6=$U2)),1,0)</f>
        <v>0</v>
      </c>
      <c r="V6">
        <f>IF(AND(F6=0,OR(AND($A6=$U2,$B6&gt;$D6),AND($E6=$U2,$D6&gt;$B6))),1,0)</f>
        <v>0</v>
      </c>
      <c r="W6">
        <f t="shared" si="4"/>
        <v>0</v>
      </c>
      <c r="X6">
        <f>IF(AND(F6=0,OR(AND($A6=$U2,$B6&lt;$D6),AND($E6=$U2,$D6&lt;$B6))),1,0)</f>
        <v>0</v>
      </c>
      <c r="Y6">
        <f>IF(F6&gt;0,0,IF($A6=$U2,$B6,IF($E6=$U2,$D6,0)))</f>
        <v>0</v>
      </c>
      <c r="Z6">
        <f>IF(F6&gt;0,0,IF($A6=$U2,$D6,IF($E6=$U2,$B6,0)))</f>
        <v>0</v>
      </c>
      <c r="AA6">
        <f t="shared" si="5"/>
        <v>0</v>
      </c>
      <c r="AB6">
        <f>IF(AND(F6=0,OR($A6=$AB2,$E6=$AB2)),1,0)</f>
        <v>0</v>
      </c>
      <c r="AC6">
        <f>IF(AND(F6=0,OR(AND($A6=$AB2,$B6&gt;$D6),AND($E6=$AB2,$D6&gt;$B6))),1,0)</f>
        <v>0</v>
      </c>
      <c r="AD6">
        <f t="shared" si="6"/>
        <v>0</v>
      </c>
      <c r="AE6">
        <f>IF(AND(F6=0,OR(AND($A6=$AB2,$B6&lt;$D6),AND($E6=$AB2,$D6&lt;$B6))),1,0)</f>
        <v>0</v>
      </c>
      <c r="AF6">
        <f>IF(F6&gt;0,0,IF($A6=$AB2,$B6,IF($E6=$AB2,$D6,0)))</f>
        <v>0</v>
      </c>
      <c r="AG6">
        <f>IF(F6&gt;0,0,IF($A6=$AB2,$D6,IF($E6=$AB2,$B6,0)))</f>
        <v>0</v>
      </c>
      <c r="AH6">
        <f t="shared" si="7"/>
        <v>0</v>
      </c>
      <c r="AJ6" s="28" t="str">
        <f>U2</f>
        <v>ŠTĚPÁNEK Ondřej (KST Blansko)</v>
      </c>
      <c r="AK6" s="28">
        <f t="shared" ref="AK6:AQ6" si="10">U10</f>
        <v>2</v>
      </c>
      <c r="AL6" s="28">
        <f t="shared" si="10"/>
        <v>1</v>
      </c>
      <c r="AM6" s="28">
        <f t="shared" si="10"/>
        <v>0</v>
      </c>
      <c r="AN6" s="28">
        <f t="shared" si="10"/>
        <v>1</v>
      </c>
      <c r="AO6" s="28">
        <f t="shared" si="10"/>
        <v>3</v>
      </c>
      <c r="AP6" s="28">
        <f t="shared" si="10"/>
        <v>4</v>
      </c>
      <c r="AQ6" s="28">
        <f t="shared" si="10"/>
        <v>2</v>
      </c>
      <c r="AS6" s="28" t="str">
        <f>IF($AQ6&gt;=$AQ7,$AJ6,$AJ7)</f>
        <v>ŠTĚPÁNEK Ondřej (KST Blansko)</v>
      </c>
      <c r="AT6" s="28">
        <f>VLOOKUP(AS6,$AJ4:$AQ7,8,FALSE)</f>
        <v>2</v>
      </c>
      <c r="AU6" s="28" t="str">
        <f>IF($AT6&lt;=$AT4,$AS6,$AS4)</f>
        <v>ŠTĚPÁNEK Ondřej (KST Blansko)</v>
      </c>
      <c r="AV6" s="28">
        <f>VLOOKUP(AU6,$AS4:$AT7,2,FALSE)</f>
        <v>2</v>
      </c>
      <c r="AW6" s="28" t="str">
        <f>IF($AV6&lt;=$AV5,$AU6,$AU5)</f>
        <v/>
      </c>
      <c r="AX6" s="28">
        <f>VLOOKUP(AW6,$AU4:$AV7,2,FALSE)</f>
        <v>0</v>
      </c>
      <c r="AY6" s="28">
        <f>VLOOKUP(AW6,$AJ4:$AQ7,6,FALSE)</f>
        <v>0</v>
      </c>
      <c r="AZ6" s="28">
        <f>VLOOKUP(AW6,$AJ4:$AQ7,7,FALSE)</f>
        <v>0</v>
      </c>
      <c r="BA6" s="28">
        <f>AY6-AZ6</f>
        <v>0</v>
      </c>
      <c r="BB6" s="28" t="str">
        <f>IF(AND($AX6=$AX7,$BA7&gt;$BA6),$AW7,$AW6)</f>
        <v/>
      </c>
      <c r="BC6" s="28">
        <f>VLOOKUP(BB6,$AW4:$BA7,2,FALSE)</f>
        <v>0</v>
      </c>
      <c r="BD6" s="28">
        <f>VLOOKUP(BB6,$AW4:$BA7,5,FALSE)</f>
        <v>0</v>
      </c>
      <c r="BE6" s="28" t="str">
        <f>IF(AND($BC4=$BC6,$BD6&gt;$BD4),$BB4,$BB6)</f>
        <v/>
      </c>
      <c r="BF6" s="28">
        <f>VLOOKUP(BE6,$BB4:$BD7,2,FALSE)</f>
        <v>0</v>
      </c>
      <c r="BG6" s="28">
        <f>VLOOKUP(BE6,$BB4:$BD7,3,FALSE)</f>
        <v>0</v>
      </c>
      <c r="BH6" s="28" t="str">
        <f>IF(AND($BF5=$BF6,$BG6&gt;$BG5),$BE5,$BE6)</f>
        <v/>
      </c>
      <c r="BI6" s="28">
        <f>VLOOKUP(BH6,$BE4:$BG7,2,FALSE)</f>
        <v>0</v>
      </c>
      <c r="BJ6" s="28">
        <f>VLOOKUP(BH6,$BE4:$BG7,3,FALSE)</f>
        <v>0</v>
      </c>
      <c r="BK6" s="28">
        <f>VLOOKUP(BH6,$AJ4:$AQ7,6,FALSE)</f>
        <v>0</v>
      </c>
      <c r="BL6" s="28" t="str">
        <f>IF(AND($BI6=$BI7,$BJ6=$BJ7,$BK7&gt;$BK6),$BH7,$BH6)</f>
        <v/>
      </c>
      <c r="BM6" s="28">
        <f>VLOOKUP(BL6,$BH4:$BK7,2,FALSE)</f>
        <v>0</v>
      </c>
      <c r="BN6" s="28">
        <f>VLOOKUP(BL6,$BH4:$BK7,3,FALSE)</f>
        <v>0</v>
      </c>
      <c r="BO6" s="28">
        <f>VLOOKUP(BL6,$BH4:$BK7,4,FALSE)</f>
        <v>0</v>
      </c>
      <c r="BP6" s="28" t="str">
        <f>IF(AND($BM4=$BM6,$BN4=$BN6,$BO6&gt;$BO4),$BL4,$BL6)</f>
        <v/>
      </c>
      <c r="BQ6" s="28">
        <f>VLOOKUP(BP6,$BL4:$BO7,2,FALSE)</f>
        <v>0</v>
      </c>
      <c r="BR6" s="28">
        <f>VLOOKUP(BP6,$BL4:$BO7,3,FALSE)</f>
        <v>0</v>
      </c>
      <c r="BS6" s="28">
        <f>VLOOKUP(BP6,$BL4:$BO7,4,FALSE)</f>
        <v>0</v>
      </c>
      <c r="BT6" s="28" t="str">
        <f>IF(AND($BQ5=$BQ6,$BR5=$BR6,$BS6&gt;$BS5),$BP5,$BP6)</f>
        <v/>
      </c>
      <c r="BU6" s="28">
        <f>VLOOKUP(BT6,$BP4:$BS7,2,FALSE)</f>
        <v>0</v>
      </c>
      <c r="BV6" s="28">
        <f>VLOOKUP(BT6,$BP4:$BS7,3,FALSE)</f>
        <v>0</v>
      </c>
      <c r="BW6" s="28">
        <f>VLOOKUP(BT6,$BP4:$BS7,4,FALSE)</f>
        <v>0</v>
      </c>
      <c r="BX6" s="28" t="str">
        <f>BT6</f>
        <v/>
      </c>
      <c r="BY6" s="28">
        <f>VLOOKUP($BX6,$AJ4:$AQ7,2,FALSE)</f>
        <v>0</v>
      </c>
      <c r="BZ6" s="28">
        <f>VLOOKUP($BX6,$AJ4:$AQ7,3,FALSE)</f>
        <v>0</v>
      </c>
      <c r="CA6" s="28">
        <f>VLOOKUP($BX6,$AJ4:$AQ7,4,FALSE)</f>
        <v>0</v>
      </c>
      <c r="CB6" s="28">
        <f>VLOOKUP($BX6,$AJ4:$AQ7,5,FALSE)</f>
        <v>0</v>
      </c>
      <c r="CC6" s="28">
        <f>VLOOKUP($BX6,$AJ4:$AQ7,6,FALSE)</f>
        <v>0</v>
      </c>
      <c r="CD6" s="28">
        <f>VLOOKUP($BX6,$AJ4:$AQ7,7,FALSE)</f>
        <v>0</v>
      </c>
      <c r="CE6" s="28">
        <f>VLOOKUP($BX6,$AJ4:$AQ7,8,FALSE)</f>
        <v>0</v>
      </c>
      <c r="CF6" s="128" t="str">
        <f>CONCATENATE(CC6,":",CD6)</f>
        <v>0:0</v>
      </c>
    </row>
    <row r="7" spans="1:84" x14ac:dyDescent="0.2">
      <c r="A7" s="27" t="str">
        <f>'1-zapasy'!B6</f>
        <v>KURDIOVSKÝ Matěj (TTC Koral Tišnov)</v>
      </c>
      <c r="B7" s="220">
        <f>'1-zapasy'!I6</f>
        <v>0</v>
      </c>
      <c r="C7" s="220" t="e">
        <f>'3-zapasy'!#REF!</f>
        <v>#REF!</v>
      </c>
      <c r="D7" s="220">
        <f>'1-zapasy'!J6</f>
        <v>3</v>
      </c>
      <c r="E7" s="27" t="str">
        <f>'1-zapasy'!C6</f>
        <v>GRABOVSKÝ Jaroslav (SKST Hodonín)</v>
      </c>
      <c r="F7" s="28">
        <f>COUNTBLANK('1-zapasy'!I6:'1-zapasy'!J6)</f>
        <v>0</v>
      </c>
      <c r="G7" s="28">
        <f>IF(AND(F7=0,OR($A7=$G2,$E7=$G2)),1,0)</f>
        <v>1</v>
      </c>
      <c r="H7" s="28">
        <f>IF(AND(F7=0,OR(AND($A7=$G2,$B7&gt;$D7),AND($E7=$G2,$D7&gt;$B7))),1,0)</f>
        <v>1</v>
      </c>
      <c r="I7" s="28">
        <f t="shared" si="0"/>
        <v>0</v>
      </c>
      <c r="J7" s="28">
        <f>IF(AND(F7=0,OR(AND($A7=$G2,$B7&lt;$D7),AND($E7=$G2,$D7&lt;$B7))),1,0)</f>
        <v>0</v>
      </c>
      <c r="K7" s="28">
        <f>IF(F7&gt;0,0,IF($A7=$G2,$B7,IF($E7=$G2,$D7,0)))</f>
        <v>3</v>
      </c>
      <c r="L7" s="28">
        <f>IF(F7&gt;0,0,IF($A7=$G2,$D7,IF($E7=$G2,$B7,0)))</f>
        <v>0</v>
      </c>
      <c r="M7">
        <f t="shared" si="1"/>
        <v>2</v>
      </c>
      <c r="N7">
        <f>IF(AND(F7=0,OR($A7=$N2,$E7=$N2)),1,0)</f>
        <v>0</v>
      </c>
      <c r="O7">
        <f>IF(AND(F7=0,OR(AND($A7=$N2,$B7&gt;$D7),AND($E7=$N2,$D7&gt;$B7))),1,0)</f>
        <v>0</v>
      </c>
      <c r="P7">
        <f t="shared" si="2"/>
        <v>0</v>
      </c>
      <c r="Q7">
        <f>IF(AND(F7=0,OR(AND($A7=$N2,$B7&lt;$D7),AND($E7=$N2,$D7&lt;$B7))),1,0)</f>
        <v>0</v>
      </c>
      <c r="R7">
        <f>IF(F7&gt;0,0,IF($A7=$N2,$B7,IF($E7=$N2,$D7,0)))</f>
        <v>0</v>
      </c>
      <c r="S7">
        <f>IF(F7&gt;0,0,IF($A7=$N2,$D7,IF($E7=$N2,$B7,0)))</f>
        <v>0</v>
      </c>
      <c r="T7">
        <f t="shared" si="3"/>
        <v>0</v>
      </c>
      <c r="U7">
        <f>IF(AND(F7=0,OR($A7=$U2,$E7=$U2)),1,0)</f>
        <v>0</v>
      </c>
      <c r="V7">
        <f>IF(AND(F7=0,OR(AND($A7=$U2,$B7&gt;$D7),AND($E7=$U2,$D7&gt;$B7))),1,0)</f>
        <v>0</v>
      </c>
      <c r="W7">
        <f t="shared" si="4"/>
        <v>0</v>
      </c>
      <c r="X7">
        <f>IF(AND(F7=0,OR(AND($A7=$U2,$B7&lt;$D7),AND($E7=$U2,$D7&lt;$B7))),1,0)</f>
        <v>0</v>
      </c>
      <c r="Y7">
        <f>IF(F7&gt;0,0,IF($A7=$U2,$B7,IF($E7=$U2,$D7,0)))</f>
        <v>0</v>
      </c>
      <c r="Z7">
        <f>IF(F7&gt;0,0,IF($A7=$U2,$D7,IF($E7=$U2,$B7,0)))</f>
        <v>0</v>
      </c>
      <c r="AA7">
        <f t="shared" si="5"/>
        <v>0</v>
      </c>
      <c r="AB7">
        <f>IF(AND(F7=0,OR($A7=$AB2,$E7=$AB2)),1,0)</f>
        <v>1</v>
      </c>
      <c r="AC7">
        <f>IF(AND(F7=0,OR(AND($A7=$AB2,$B7&gt;$D7),AND($E7=$AB2,$D7&gt;$B7))),1,0)</f>
        <v>0</v>
      </c>
      <c r="AD7">
        <f t="shared" si="6"/>
        <v>0</v>
      </c>
      <c r="AE7">
        <f>IF(AND(F7=0,OR(AND($A7=$AB2,$B7&lt;$D7),AND($E7=$AB2,$D7&lt;$B7))),1,0)</f>
        <v>1</v>
      </c>
      <c r="AF7">
        <f>IF(F7&gt;0,0,IF($A7=$AB2,$B7,IF($E7=$AB2,$D7,0)))</f>
        <v>0</v>
      </c>
      <c r="AG7">
        <f>IF(F7&gt;0,0,IF($A7=$AB2,$D7,IF($E7=$AB2,$B7,0)))</f>
        <v>3</v>
      </c>
      <c r="AH7">
        <f t="shared" si="7"/>
        <v>0</v>
      </c>
      <c r="AJ7" s="28" t="str">
        <f>AB2</f>
        <v>KURDIOVSKÝ Matěj (TTC Koral Tišnov)</v>
      </c>
      <c r="AK7" s="28">
        <f t="shared" ref="AK7:AQ7" si="11">AB10</f>
        <v>2</v>
      </c>
      <c r="AL7" s="28">
        <f t="shared" si="11"/>
        <v>0</v>
      </c>
      <c r="AM7" s="28">
        <f t="shared" si="11"/>
        <v>0</v>
      </c>
      <c r="AN7" s="28">
        <f t="shared" si="11"/>
        <v>2</v>
      </c>
      <c r="AO7" s="28">
        <f t="shared" si="11"/>
        <v>1</v>
      </c>
      <c r="AP7" s="28">
        <f t="shared" si="11"/>
        <v>6</v>
      </c>
      <c r="AQ7" s="28">
        <f t="shared" si="11"/>
        <v>0</v>
      </c>
      <c r="AS7" s="28" t="str">
        <f>IF($AQ7&lt;=$AQ6,$AJ7,$AJ6)</f>
        <v>KURDIOVSKÝ Matěj (TTC Koral Tišnov)</v>
      </c>
      <c r="AT7" s="28">
        <f>VLOOKUP(AS7,$AJ4:$AQ7,8,FALSE)</f>
        <v>0</v>
      </c>
      <c r="AU7" s="28" t="str">
        <f>IF($AT7&lt;=$AT5,$AS7,$AS5)</f>
        <v>KURDIOVSKÝ Matěj (TTC Koral Tišnov)</v>
      </c>
      <c r="AV7" s="28">
        <f>VLOOKUP(AU7,$AS4:$AT7,2,FALSE)</f>
        <v>0</v>
      </c>
      <c r="AW7" s="28" t="str">
        <f>IF($AV7&lt;=$AV4,$AU7,$AU4)</f>
        <v>KURDIOVSKÝ Matěj (TTC Koral Tišnov)</v>
      </c>
      <c r="AX7" s="28">
        <f>VLOOKUP(AW7,$AU4:$AV7,2,FALSE)</f>
        <v>0</v>
      </c>
      <c r="AY7" s="28">
        <f>VLOOKUP(AW7,$AJ4:$AQ7,6,FALSE)</f>
        <v>1</v>
      </c>
      <c r="AZ7" s="28">
        <f>VLOOKUP(AW7,$AJ4:$AQ7,7,FALSE)</f>
        <v>6</v>
      </c>
      <c r="BA7" s="28">
        <f>AY7-AZ7</f>
        <v>-5</v>
      </c>
      <c r="BB7" s="28" t="str">
        <f>IF(AND($AX6=$AX7,$BA7&gt;$BA6),$AW6,$AW7)</f>
        <v>KURDIOVSKÝ Matěj (TTC Koral Tišnov)</v>
      </c>
      <c r="BC7" s="28">
        <f>VLOOKUP(BB7,$AW4:$BA7,2,FALSE)</f>
        <v>0</v>
      </c>
      <c r="BD7" s="28">
        <f>VLOOKUP(BB7,$AW4:$BA7,5,FALSE)</f>
        <v>-5</v>
      </c>
      <c r="BE7" s="28" t="str">
        <f>IF(AND($BC5=$BC7,$BD7&gt;$BD5),$BB5,$BB7)</f>
        <v>KURDIOVSKÝ Matěj (TTC Koral Tišnov)</v>
      </c>
      <c r="BF7" s="28">
        <f>VLOOKUP(BE7,$BB4:$BD7,2,FALSE)</f>
        <v>0</v>
      </c>
      <c r="BG7" s="28">
        <f>VLOOKUP(BE7,$BB4:$BD7,3,FALSE)</f>
        <v>-5</v>
      </c>
      <c r="BH7" s="28" t="str">
        <f>IF(AND($BF4=$BF7,$BG7&gt;$BG4),$BE4,$BE7)</f>
        <v>KURDIOVSKÝ Matěj (TTC Koral Tišnov)</v>
      </c>
      <c r="BI7" s="28">
        <f>VLOOKUP(BH7,$BE4:$BG7,2,FALSE)</f>
        <v>0</v>
      </c>
      <c r="BJ7" s="28">
        <f>VLOOKUP(BH7,$BE4:$BG7,3,FALSE)</f>
        <v>-5</v>
      </c>
      <c r="BK7" s="28">
        <f>VLOOKUP(BH7,$AJ4:$AQ7,6,FALSE)</f>
        <v>1</v>
      </c>
      <c r="BL7" s="28" t="str">
        <f>IF(AND($BI6=$BI7,$BJ6=$BJ7,$BK7&gt;$BK6),$BH6,$BH7)</f>
        <v>KURDIOVSKÝ Matěj (TTC Koral Tišnov)</v>
      </c>
      <c r="BM7" s="28">
        <f>VLOOKUP(BL7,$BH4:$BK7,2,FALSE)</f>
        <v>0</v>
      </c>
      <c r="BN7" s="28">
        <f>VLOOKUP(BL7,$BH4:$BK7,3,FALSE)</f>
        <v>-5</v>
      </c>
      <c r="BO7" s="28">
        <f>VLOOKUP(BL7,$BH4:$BK7,4,FALSE)</f>
        <v>1</v>
      </c>
      <c r="BP7" s="28" t="str">
        <f>IF(AND($BM5=$BM7,$BN5=$BN7,$BO7&gt;$BO5),$BL5,$BL7)</f>
        <v>KURDIOVSKÝ Matěj (TTC Koral Tišnov)</v>
      </c>
      <c r="BQ7" s="28">
        <f>VLOOKUP(BP7,$BL4:$BO7,2,FALSE)</f>
        <v>0</v>
      </c>
      <c r="BR7" s="28">
        <f>VLOOKUP(BP7,$BL4:$BO7,3,FALSE)</f>
        <v>-5</v>
      </c>
      <c r="BS7" s="28">
        <f>VLOOKUP(BP7,$BL4:$BO7,4,FALSE)</f>
        <v>1</v>
      </c>
      <c r="BT7" s="28" t="str">
        <f>IF(AND($BQ4=$BQ7,$BR4=$BR7,$BS7&gt;$BS4),$BP4,$BP7)</f>
        <v>KURDIOVSKÝ Matěj (TTC Koral Tišnov)</v>
      </c>
      <c r="BU7" s="28">
        <f>VLOOKUP(BT7,$BP4:$BS7,2,FALSE)</f>
        <v>0</v>
      </c>
      <c r="BV7" s="28">
        <f>VLOOKUP(BT7,$BP4:$BS7,3,FALSE)</f>
        <v>-5</v>
      </c>
      <c r="BW7" s="28">
        <f>VLOOKUP(BT7,$BP4:$BS7,4,FALSE)</f>
        <v>1</v>
      </c>
      <c r="BX7" s="28" t="str">
        <f>BT7</f>
        <v>KURDIOVSKÝ Matěj (TTC Koral Tišnov)</v>
      </c>
      <c r="BY7" s="28">
        <f>VLOOKUP($BX7,$AJ4:$AQ7,2,FALSE)</f>
        <v>2</v>
      </c>
      <c r="BZ7" s="28">
        <f>VLOOKUP($BX7,$AJ4:$AQ7,3,FALSE)</f>
        <v>0</v>
      </c>
      <c r="CA7" s="28">
        <f>VLOOKUP($BX7,$AJ4:$AQ7,4,FALSE)</f>
        <v>0</v>
      </c>
      <c r="CB7" s="28">
        <f>VLOOKUP($BX7,$AJ4:$AQ7,5,FALSE)</f>
        <v>2</v>
      </c>
      <c r="CC7" s="28">
        <f>VLOOKUP($BX7,$AJ4:$AQ7,6,FALSE)</f>
        <v>1</v>
      </c>
      <c r="CD7" s="28">
        <f>VLOOKUP($BX7,$AJ4:$AQ7,7,FALSE)</f>
        <v>6</v>
      </c>
      <c r="CE7" s="28">
        <f>VLOOKUP($BX7,$AJ4:$AQ7,8,FALSE)</f>
        <v>0</v>
      </c>
      <c r="CF7" s="128" t="str">
        <f>CONCATENATE(CC7,":",CD7)</f>
        <v>1:6</v>
      </c>
    </row>
    <row r="8" spans="1:84" x14ac:dyDescent="0.2">
      <c r="A8" s="27" t="str">
        <f>'1-zapasy'!B7</f>
        <v>KURDIOVSKÝ Matěj (TTC Koral Tišnov)</v>
      </c>
      <c r="B8" s="220" t="str">
        <f>'1-zapasy'!I7</f>
        <v/>
      </c>
      <c r="C8" s="220" t="e">
        <f>'3-zapasy'!#REF!</f>
        <v>#REF!</v>
      </c>
      <c r="D8" s="220" t="str">
        <f>'1-zapasy'!J7</f>
        <v/>
      </c>
      <c r="E8" s="27" t="str">
        <f>'1-zapasy'!C7</f>
        <v/>
      </c>
      <c r="F8" s="28">
        <f>COUNTBLANK('1-zapasy'!I7:'1-zapasy'!J7)</f>
        <v>2</v>
      </c>
      <c r="G8" s="28">
        <f>IF(AND(F8=0,OR($A8=$G2,$E8=$G2)),1,0)</f>
        <v>0</v>
      </c>
      <c r="H8" s="28">
        <f>IF(AND(F8=0,OR(AND($A8=$G2,$B8&gt;$D8),AND($E8=$G2,$D8&gt;$B8))),1,0)</f>
        <v>0</v>
      </c>
      <c r="I8" s="28">
        <f t="shared" si="0"/>
        <v>0</v>
      </c>
      <c r="J8" s="28">
        <f>IF(AND(F8=0,OR(AND($A8=$G2,$B8&lt;$D8),AND($E8=$G2,$D8&lt;$B8))),1,0)</f>
        <v>0</v>
      </c>
      <c r="K8" s="28">
        <f>IF(F8&gt;0,0,IF($A8=$G2,$B8,IF($E8=$G2,$D8,0)))</f>
        <v>0</v>
      </c>
      <c r="L8" s="28">
        <f>IF(F8&gt;0,0,IF($A8=$G2,$D8,IF($E8=$G2,$B8,0)))</f>
        <v>0</v>
      </c>
      <c r="M8">
        <f t="shared" si="1"/>
        <v>0</v>
      </c>
      <c r="N8">
        <f>IF(AND(F8=0,OR($A8=$N2,$E8=$N2)),1,0)</f>
        <v>0</v>
      </c>
      <c r="O8">
        <f>IF(AND(F8=0,OR(AND($A8=$N2,$B8&gt;$D8),AND($E8=$N2,$D8&gt;$B8))),1,0)</f>
        <v>0</v>
      </c>
      <c r="P8">
        <f t="shared" si="2"/>
        <v>0</v>
      </c>
      <c r="Q8">
        <f>IF(AND(F8=0,OR(AND($A8=$N2,$B8&lt;$D8),AND($E8=$N2,$D8&lt;$B8))),1,0)</f>
        <v>0</v>
      </c>
      <c r="R8">
        <f>IF(F8&gt;0,0,IF($A8=$N2,$B8,IF($E8=$N2,$D8,0)))</f>
        <v>0</v>
      </c>
      <c r="S8">
        <f>IF(F8&gt;0,0,IF($A8=$N2,$D8,IF($E8=$N2,$B8,0)))</f>
        <v>0</v>
      </c>
      <c r="T8">
        <f t="shared" si="3"/>
        <v>0</v>
      </c>
      <c r="U8">
        <f>IF(AND(F8=0,OR($A8=$U2,$E8=$U2)),1,0)</f>
        <v>0</v>
      </c>
      <c r="V8">
        <f>IF(AND(F8=0,OR(AND($A8=$U2,$B8&gt;$D8),AND($E8=$U2,$D8&gt;$B8))),1,0)</f>
        <v>0</v>
      </c>
      <c r="W8">
        <f t="shared" si="4"/>
        <v>0</v>
      </c>
      <c r="X8">
        <f>IF(AND(F8=0,OR(AND($A8=$U2,$B8&lt;$D8),AND($E8=$U2,$D8&lt;$B8))),1,0)</f>
        <v>0</v>
      </c>
      <c r="Y8">
        <f>IF(F8&gt;0,0,IF($A8=$U2,$B8,IF($E8=$U2,$D8,0)))</f>
        <v>0</v>
      </c>
      <c r="Z8">
        <f>IF(F8&gt;0,0,IF($A8=$U2,$D8,IF($E8=$U2,$B8,0)))</f>
        <v>0</v>
      </c>
      <c r="AA8">
        <f t="shared" si="5"/>
        <v>0</v>
      </c>
      <c r="AB8">
        <f>IF(AND(F8=0,OR($A8=$AB2,$E8=$AB2)),1,0)</f>
        <v>0</v>
      </c>
      <c r="AC8">
        <f>IF(AND(F8=0,OR(AND($A8=$AB2,$B8&gt;$D8),AND($E8=$AB2,$D8&gt;$B8))),1,0)</f>
        <v>0</v>
      </c>
      <c r="AD8">
        <f t="shared" si="6"/>
        <v>0</v>
      </c>
      <c r="AE8">
        <f>IF(AND(F8=0,OR(AND($A8=$AB2,$B8&lt;$D8),AND($E8=$AB2,$D8&lt;$B8))),1,0)</f>
        <v>0</v>
      </c>
      <c r="AF8">
        <f>IF(F8&gt;0,0,IF($A8=$AB2,$B8,IF($E8=$AB2,$D8,0)))</f>
        <v>0</v>
      </c>
      <c r="AG8">
        <f>IF(F8&gt;0,0,IF($A8=$AB2,$D8,IF($E8=$AB2,$B8,0)))</f>
        <v>0</v>
      </c>
      <c r="AH8">
        <f t="shared" si="7"/>
        <v>0</v>
      </c>
    </row>
    <row r="9" spans="1:84" x14ac:dyDescent="0.2">
      <c r="A9" s="27" t="str">
        <f>'1-zapasy'!B8</f>
        <v>GRABOVSKÝ Jaroslav (SKST Hodonín)</v>
      </c>
      <c r="B9" s="220">
        <f>'1-zapasy'!I8</f>
        <v>3</v>
      </c>
      <c r="C9" s="220" t="e">
        <f>'3-zapasy'!#REF!</f>
        <v>#REF!</v>
      </c>
      <c r="D9" s="220">
        <f>'1-zapasy'!J8</f>
        <v>0</v>
      </c>
      <c r="E9" s="27" t="str">
        <f>'1-zapasy'!C8</f>
        <v>ŠTĚPÁNEK Ondřej (KST Blansko)</v>
      </c>
      <c r="F9" s="28">
        <f>COUNTBLANK('1-zapasy'!I8:'1-zapasy'!J8)</f>
        <v>0</v>
      </c>
      <c r="G9" s="28">
        <f>IF(AND(F9=0,OR($A9=$G2,$E9=$G2)),1,0)</f>
        <v>1</v>
      </c>
      <c r="H9" s="28">
        <f>IF(AND(F9=0,OR(AND($A9=$G2,$B9&gt;$D9),AND($E9=$G2,$D9&gt;$B9))),1,0)</f>
        <v>1</v>
      </c>
      <c r="I9" s="28">
        <f t="shared" si="0"/>
        <v>0</v>
      </c>
      <c r="J9" s="28">
        <f>IF(AND(F9=0,OR(AND($A9=$G2,$B9&lt;$D9),AND($E9=$G2,$D9&lt;$B9))),1,0)</f>
        <v>0</v>
      </c>
      <c r="K9" s="28">
        <f>IF(F9&gt;0,0,IF($A9=$G2,$B9,IF($E9=$G2,$D9,0)))</f>
        <v>3</v>
      </c>
      <c r="L9" s="28">
        <f>IF(F9&gt;0,0,IF($A9=$G2,$D9,IF($E9=$G2,$B9,0)))</f>
        <v>0</v>
      </c>
      <c r="M9">
        <f t="shared" si="1"/>
        <v>2</v>
      </c>
      <c r="N9">
        <f>IF(AND(F9=0,OR($A9=$N2,$E9=$N2)),1,0)</f>
        <v>0</v>
      </c>
      <c r="O9">
        <f>IF(AND(F9=0,OR(AND($A9=$N2,$B9&gt;$D9),AND($E9=$N2,$D9&gt;$B9))),1,0)</f>
        <v>0</v>
      </c>
      <c r="P9">
        <f t="shared" si="2"/>
        <v>0</v>
      </c>
      <c r="Q9">
        <f>IF(AND(F9=0,OR(AND($A9=$N2,$B9&lt;$D9),AND($E9=$N2,$D9&lt;$B9))),1,0)</f>
        <v>0</v>
      </c>
      <c r="R9">
        <f>IF(F9&gt;0,0,IF($A9=$N2,$B9,IF($E9=$N2,$D9,0)))</f>
        <v>0</v>
      </c>
      <c r="S9">
        <f>IF(F9&gt;0,0,IF($A9=$N2,$D9,IF($E9=$N2,$B9,0)))</f>
        <v>0</v>
      </c>
      <c r="T9">
        <f t="shared" si="3"/>
        <v>0</v>
      </c>
      <c r="U9">
        <f>IF(AND(F9=0,OR($A9=$U2,$E9=$U2)),1,0)</f>
        <v>1</v>
      </c>
      <c r="V9">
        <f>IF(AND(F9=0,OR(AND($A9=$U2,$B9&gt;$D9),AND($E9=$U2,$D9&gt;$B9))),1,0)</f>
        <v>0</v>
      </c>
      <c r="W9">
        <f t="shared" si="4"/>
        <v>0</v>
      </c>
      <c r="X9">
        <f>IF(AND(F9=0,OR(AND($A9=$U2,$B9&lt;$D9),AND($E9=$U2,$D9&lt;$B9))),1,0)</f>
        <v>1</v>
      </c>
      <c r="Y9">
        <f>IF(F9&gt;0,0,IF($A9=$U2,$B9,IF($E9=$U2,$D9,0)))</f>
        <v>0</v>
      </c>
      <c r="Z9">
        <f>IF(F9&gt;0,0,IF($A9=$U2,$D9,IF($E9=$U2,$B9,0)))</f>
        <v>3</v>
      </c>
      <c r="AA9">
        <f t="shared" si="5"/>
        <v>0</v>
      </c>
      <c r="AB9">
        <f>IF(AND(F9=0,OR($A9=$AB2,$E9=$AB2)),1,0)</f>
        <v>0</v>
      </c>
      <c r="AC9">
        <f>IF(AND(F9=0,OR(AND($A9=$AB2,$B9&gt;$D9),AND($E9=$AB2,$D9&gt;$B9))),1,0)</f>
        <v>0</v>
      </c>
      <c r="AD9">
        <f t="shared" si="6"/>
        <v>0</v>
      </c>
      <c r="AE9">
        <f>IF(AND(F9=0,OR(AND($A9=$AB2,$B9&lt;$D9),AND($E9=$AB2,$D9&lt;$B9))),1,0)</f>
        <v>0</v>
      </c>
      <c r="AF9">
        <f>IF(F9&gt;0,0,IF($A9=$AB2,$B9,IF($E9=$AB2,$D9,0)))</f>
        <v>0</v>
      </c>
      <c r="AG9">
        <f>IF(F9&gt;0,0,IF($A9=$AB2,$D9,IF($E9=$AB2,$B9,0)))</f>
        <v>0</v>
      </c>
      <c r="AH9">
        <f t="shared" si="7"/>
        <v>0</v>
      </c>
    </row>
    <row r="10" spans="1:84" x14ac:dyDescent="0.2">
      <c r="A10" s="27" t="s">
        <v>92</v>
      </c>
      <c r="B10" s="220">
        <v>2</v>
      </c>
      <c r="G10" s="28">
        <f t="shared" ref="G10:AH10" si="12">SUM(G4:G9)</f>
        <v>2</v>
      </c>
      <c r="H10" s="28">
        <f t="shared" si="12"/>
        <v>2</v>
      </c>
      <c r="I10" s="28">
        <f t="shared" si="12"/>
        <v>0</v>
      </c>
      <c r="J10" s="28">
        <f t="shared" si="12"/>
        <v>0</v>
      </c>
      <c r="K10" s="28">
        <f t="shared" si="12"/>
        <v>6</v>
      </c>
      <c r="L10" s="28">
        <f t="shared" si="12"/>
        <v>0</v>
      </c>
      <c r="M10">
        <f t="shared" si="12"/>
        <v>4</v>
      </c>
      <c r="N10">
        <f t="shared" si="12"/>
        <v>0</v>
      </c>
      <c r="O10">
        <f t="shared" si="12"/>
        <v>0</v>
      </c>
      <c r="P10">
        <f t="shared" si="12"/>
        <v>0</v>
      </c>
      <c r="Q10">
        <f t="shared" si="12"/>
        <v>0</v>
      </c>
      <c r="R10">
        <f t="shared" si="12"/>
        <v>0</v>
      </c>
      <c r="S10">
        <f t="shared" si="12"/>
        <v>0</v>
      </c>
      <c r="T10">
        <f t="shared" si="12"/>
        <v>0</v>
      </c>
      <c r="U10">
        <f t="shared" si="12"/>
        <v>2</v>
      </c>
      <c r="V10">
        <f t="shared" si="12"/>
        <v>1</v>
      </c>
      <c r="W10">
        <f t="shared" si="12"/>
        <v>0</v>
      </c>
      <c r="X10">
        <f t="shared" si="12"/>
        <v>1</v>
      </c>
      <c r="Y10">
        <f t="shared" si="12"/>
        <v>3</v>
      </c>
      <c r="Z10">
        <f t="shared" si="12"/>
        <v>4</v>
      </c>
      <c r="AA10">
        <f t="shared" si="12"/>
        <v>2</v>
      </c>
      <c r="AB10">
        <f t="shared" si="12"/>
        <v>2</v>
      </c>
      <c r="AC10">
        <f t="shared" si="12"/>
        <v>0</v>
      </c>
      <c r="AD10">
        <f t="shared" si="12"/>
        <v>0</v>
      </c>
      <c r="AE10">
        <f t="shared" si="12"/>
        <v>2</v>
      </c>
      <c r="AF10">
        <f t="shared" si="12"/>
        <v>1</v>
      </c>
      <c r="AG10">
        <f t="shared" si="12"/>
        <v>6</v>
      </c>
      <c r="AH10">
        <f t="shared" si="12"/>
        <v>0</v>
      </c>
    </row>
    <row r="12" spans="1:84" x14ac:dyDescent="0.2">
      <c r="A12" s="463" t="str">
        <f>'1-zapasy'!A9</f>
        <v>skupina A2</v>
      </c>
      <c r="B12" s="464"/>
      <c r="C12" s="464"/>
      <c r="D12" s="464"/>
      <c r="E12" s="464"/>
      <c r="F12" s="28" t="s">
        <v>67</v>
      </c>
      <c r="G12" s="465" t="str">
        <f>A14</f>
        <v>NOVOHRADSKÁ Karolína (KST Blansko)</v>
      </c>
      <c r="H12" s="465"/>
      <c r="I12" s="465"/>
      <c r="J12" s="465"/>
      <c r="K12" s="465"/>
      <c r="L12" s="465"/>
      <c r="M12" s="465"/>
      <c r="N12" s="465" t="str">
        <f>E14</f>
        <v>GRÜNWALD Michal (KST Vyškov)</v>
      </c>
      <c r="O12" s="465"/>
      <c r="P12" s="465"/>
      <c r="Q12" s="465"/>
      <c r="R12" s="465"/>
      <c r="S12" s="465"/>
      <c r="T12" s="465"/>
      <c r="U12" s="465" t="str">
        <f>A15</f>
        <v>HOLUBOVÁ Simona (SKST Hodonín)</v>
      </c>
      <c r="V12" s="465"/>
      <c r="W12" s="465"/>
      <c r="X12" s="465"/>
      <c r="Y12" s="465"/>
      <c r="Z12" s="465"/>
      <c r="AA12" s="465"/>
      <c r="AB12" s="465" t="str">
        <f>E15</f>
        <v>HORNÍČEK Lukáš (TTC MS Brno)</v>
      </c>
      <c r="AC12" s="465"/>
      <c r="AD12" s="465"/>
      <c r="AE12" s="465"/>
      <c r="AF12" s="465"/>
      <c r="AG12" s="465"/>
      <c r="AH12" s="465"/>
      <c r="AJ12" s="465" t="s">
        <v>68</v>
      </c>
      <c r="AK12" s="465"/>
      <c r="AL12" s="465"/>
      <c r="AM12" s="465"/>
      <c r="AN12" s="465"/>
      <c r="AO12" s="465"/>
      <c r="AP12" s="465"/>
      <c r="AQ12" s="465"/>
      <c r="BX12" s="28" t="s">
        <v>69</v>
      </c>
    </row>
    <row r="13" spans="1:84" x14ac:dyDescent="0.2">
      <c r="A13" s="464"/>
      <c r="B13" s="464"/>
      <c r="C13" s="464"/>
      <c r="D13" s="464"/>
      <c r="E13" s="464"/>
      <c r="F13" s="28" t="s">
        <v>70</v>
      </c>
      <c r="G13" s="28" t="s">
        <v>71</v>
      </c>
      <c r="H13" s="28" t="s">
        <v>72</v>
      </c>
      <c r="I13" s="28" t="s">
        <v>73</v>
      </c>
      <c r="J13" s="28" t="s">
        <v>74</v>
      </c>
      <c r="K13" s="28" t="s">
        <v>75</v>
      </c>
      <c r="L13" s="28" t="s">
        <v>76</v>
      </c>
      <c r="M13" s="28" t="s">
        <v>77</v>
      </c>
      <c r="N13" s="28" t="s">
        <v>71</v>
      </c>
      <c r="O13" s="28" t="s">
        <v>72</v>
      </c>
      <c r="P13" s="28" t="s">
        <v>73</v>
      </c>
      <c r="Q13" s="28" t="s">
        <v>74</v>
      </c>
      <c r="R13" s="28" t="s">
        <v>75</v>
      </c>
      <c r="S13" s="28" t="s">
        <v>76</v>
      </c>
      <c r="T13" s="28" t="s">
        <v>77</v>
      </c>
      <c r="U13" s="28" t="s">
        <v>71</v>
      </c>
      <c r="V13" s="28" t="s">
        <v>72</v>
      </c>
      <c r="W13" s="28" t="s">
        <v>73</v>
      </c>
      <c r="X13" s="28" t="s">
        <v>74</v>
      </c>
      <c r="Y13" s="28" t="s">
        <v>75</v>
      </c>
      <c r="Z13" s="28" t="s">
        <v>76</v>
      </c>
      <c r="AA13" s="28" t="s">
        <v>77</v>
      </c>
      <c r="AB13" s="28" t="s">
        <v>71</v>
      </c>
      <c r="AC13" s="28" t="s">
        <v>72</v>
      </c>
      <c r="AD13" s="28" t="s">
        <v>73</v>
      </c>
      <c r="AE13" s="28" t="s">
        <v>74</v>
      </c>
      <c r="AF13" s="28" t="s">
        <v>75</v>
      </c>
      <c r="AG13" s="28" t="s">
        <v>76</v>
      </c>
      <c r="AH13" s="28" t="s">
        <v>77</v>
      </c>
      <c r="AK13" s="28" t="s">
        <v>71</v>
      </c>
      <c r="AL13" s="28" t="s">
        <v>72</v>
      </c>
      <c r="AM13" s="28" t="s">
        <v>73</v>
      </c>
      <c r="AN13" s="28" t="s">
        <v>74</v>
      </c>
      <c r="AO13" s="28" t="s">
        <v>75</v>
      </c>
      <c r="AP13" s="28" t="s">
        <v>76</v>
      </c>
      <c r="AQ13" s="28" t="s">
        <v>77</v>
      </c>
      <c r="AS13" s="28" t="s">
        <v>78</v>
      </c>
      <c r="AU13" s="28" t="s">
        <v>79</v>
      </c>
      <c r="AW13" s="28" t="s">
        <v>80</v>
      </c>
      <c r="AY13" s="28" t="s">
        <v>81</v>
      </c>
      <c r="BB13" s="28" t="s">
        <v>82</v>
      </c>
      <c r="BE13" s="28" t="s">
        <v>83</v>
      </c>
      <c r="BH13" s="28" t="s">
        <v>84</v>
      </c>
      <c r="BK13" s="28" t="s">
        <v>85</v>
      </c>
      <c r="BL13" s="28" t="s">
        <v>86</v>
      </c>
      <c r="BP13" s="28" t="s">
        <v>87</v>
      </c>
      <c r="BT13" s="28" t="s">
        <v>88</v>
      </c>
      <c r="BY13" s="28" t="s">
        <v>65</v>
      </c>
      <c r="BZ13" s="28" t="s">
        <v>89</v>
      </c>
      <c r="CA13" s="28" t="s">
        <v>58</v>
      </c>
      <c r="CB13" s="28" t="s">
        <v>90</v>
      </c>
      <c r="CC13" s="28" t="s">
        <v>51</v>
      </c>
      <c r="CD13" s="28" t="s">
        <v>53</v>
      </c>
      <c r="CE13" s="28" t="s">
        <v>91</v>
      </c>
    </row>
    <row r="14" spans="1:84" x14ac:dyDescent="0.2">
      <c r="A14" s="27" t="str">
        <f>'1-zapasy'!B11</f>
        <v>NOVOHRADSKÁ Karolína (KST Blansko)</v>
      </c>
      <c r="B14" s="220">
        <f>'1-zapasy'!I11</f>
        <v>3</v>
      </c>
      <c r="C14" s="220" t="e">
        <f>'3-zapasy'!#REF!</f>
        <v>#REF!</v>
      </c>
      <c r="D14" s="220">
        <f>'1-zapasy'!J11</f>
        <v>1</v>
      </c>
      <c r="E14" s="27" t="str">
        <f>'1-zapasy'!C11</f>
        <v>GRÜNWALD Michal (KST Vyškov)</v>
      </c>
      <c r="F14" s="28">
        <f>COUNTBLANK('1-zapasy'!I11:'1-zapasy'!J11)</f>
        <v>0</v>
      </c>
      <c r="G14" s="28">
        <f>IF(AND(F14=0,OR($A14=$G12,$E14=$G12)),1,0)</f>
        <v>1</v>
      </c>
      <c r="H14" s="28">
        <f>IF(AND(F14=0,OR(AND($A14=$G12,$B14&gt;$D14),AND($E14=$G12,$D14&gt;$B14))),1,0)</f>
        <v>1</v>
      </c>
      <c r="I14" s="28">
        <f t="shared" ref="I14:I19" si="13">IF(AND(F14=0,G14=1,$B14=$D14),1,0)</f>
        <v>0</v>
      </c>
      <c r="J14" s="28">
        <f>IF(AND(F14=0,OR(AND($A14=$G12,$B14&lt;$D14),AND($E14=$G12,$D14&lt;$B14))),1,0)</f>
        <v>0</v>
      </c>
      <c r="K14" s="28">
        <f>IF(F14&gt;0,0,IF($A14=$G12,$B14,IF($E14=$G12,$D14,0)))</f>
        <v>3</v>
      </c>
      <c r="L14" s="28">
        <f>IF(F14&gt;0,0,IF($A14=$G12,$D14,IF($E14=$G12,$B14,0)))</f>
        <v>1</v>
      </c>
      <c r="M14">
        <f t="shared" ref="M14:M19" si="14">(($H14*$B$10)+$I14)</f>
        <v>2</v>
      </c>
      <c r="N14">
        <f>IF(AND(F14=0,OR($A14=$N12,$E14=$N12)),1,0)</f>
        <v>1</v>
      </c>
      <c r="O14">
        <f>IF(AND(F14=0,OR(AND($A14=$N12,$B14&gt;$D14),AND($E14=$N12,$D14&gt;$B14))),1,0)</f>
        <v>0</v>
      </c>
      <c r="P14">
        <f t="shared" ref="P14:P19" si="15">IF(AND(F14=0,N14=1,$B14=$D14),1,0)</f>
        <v>0</v>
      </c>
      <c r="Q14">
        <f>IF(AND(F14=0,OR(AND($A14=$N12,$B14&lt;$D14),AND($E14=$N12,$D14&lt;$B14))),1,0)</f>
        <v>1</v>
      </c>
      <c r="R14">
        <f>IF(F14&gt;0,0,IF($A14=$N12,$B14,IF($E14=$N12,$D14,0)))</f>
        <v>1</v>
      </c>
      <c r="S14">
        <f>IF(F14&gt;0,0,IF($A14=$N12,$D14,IF($E14=$N12,$B14,0)))</f>
        <v>3</v>
      </c>
      <c r="T14">
        <f t="shared" ref="T14:T19" si="16">(($O14*$B$10)+$P14)</f>
        <v>0</v>
      </c>
      <c r="U14">
        <f>IF(AND(F14=0,OR($A14=$U12,$E14=$U12)),1,0)</f>
        <v>0</v>
      </c>
      <c r="V14">
        <f>IF(AND(F14=0,OR(AND($A14=$U12,$B14&gt;$D14),AND($E14=$U12,$D14&gt;$B14))),1,0)</f>
        <v>0</v>
      </c>
      <c r="W14">
        <f t="shared" ref="W14:W19" si="17">IF(AND(F14=0,U14=1,$B14=$D14),1,0)</f>
        <v>0</v>
      </c>
      <c r="X14">
        <f>IF(AND(F14=0,OR(AND($A14=$U12,$B14&lt;$D14),AND($E14=$U12,$D14&lt;$B14))),1,0)</f>
        <v>0</v>
      </c>
      <c r="Y14">
        <f>IF(F14&gt;0,0,IF($A14=$U12,$B14,IF($E14=$U12,$D14,0)))</f>
        <v>0</v>
      </c>
      <c r="Z14">
        <f>IF(F14&gt;0,0,IF($A14=$U12,$D14,IF($E14=$U12,$B14,0)))</f>
        <v>0</v>
      </c>
      <c r="AA14">
        <f t="shared" ref="AA14:AA19" si="18">(($V14*$B$10)+$W14)</f>
        <v>0</v>
      </c>
      <c r="AB14">
        <f>IF(AND(F14=0,OR($A14=$AB12,$E14=$AB12)),1,0)</f>
        <v>0</v>
      </c>
      <c r="AC14">
        <f>IF(AND(F14=0,OR(AND($A14=$AB12,$B14&gt;$D14),AND($E14=$AB12,$D14&gt;$B14))),1,0)</f>
        <v>0</v>
      </c>
      <c r="AD14">
        <f t="shared" ref="AD14:AD19" si="19">IF(AND(F14=0,AB14=1,$B14=$D14),1,0)</f>
        <v>0</v>
      </c>
      <c r="AE14">
        <f>IF(AND(F14=0,OR(AND($A14=$AB12,$B14&lt;$D14),AND($E14=$AB12,$D14&lt;$B14))),1,0)</f>
        <v>0</v>
      </c>
      <c r="AF14">
        <f>IF(F14&gt;0,0,IF($A14=$AB12,$B14,IF($E14=$AB12,$D14,0)))</f>
        <v>0</v>
      </c>
      <c r="AG14">
        <f>IF(F14&gt;0,0,IF($A14=$AB12,$D14,IF($E14=$AB12,$B14,0)))</f>
        <v>0</v>
      </c>
      <c r="AH14">
        <f t="shared" ref="AH14:AH19" si="20">(($AC14*$B$10)+$AD14)</f>
        <v>0</v>
      </c>
      <c r="AJ14" s="28" t="str">
        <f>G12</f>
        <v>NOVOHRADSKÁ Karolína (KST Blansko)</v>
      </c>
      <c r="AK14" s="28">
        <f t="shared" ref="AK14:AQ14" si="21">G20</f>
        <v>3</v>
      </c>
      <c r="AL14" s="28">
        <f t="shared" si="21"/>
        <v>2</v>
      </c>
      <c r="AM14" s="28">
        <f t="shared" si="21"/>
        <v>0</v>
      </c>
      <c r="AN14" s="28">
        <f t="shared" si="21"/>
        <v>1</v>
      </c>
      <c r="AO14" s="28">
        <f t="shared" si="21"/>
        <v>6</v>
      </c>
      <c r="AP14" s="28">
        <f t="shared" si="21"/>
        <v>6</v>
      </c>
      <c r="AQ14" s="28">
        <f t="shared" si="21"/>
        <v>4</v>
      </c>
      <c r="AS14" s="28" t="str">
        <f>IF($AQ14&gt;=$AQ15,$AJ14,$AJ15)</f>
        <v>NOVOHRADSKÁ Karolína (KST Blansko)</v>
      </c>
      <c r="AT14" s="28">
        <f>VLOOKUP(AS14,$AJ14:$AQ17,8,FALSE)</f>
        <v>4</v>
      </c>
      <c r="AU14" s="28" t="str">
        <f>IF($AT14&gt;=$AT16,$AS14,$AS16)</f>
        <v>NOVOHRADSKÁ Karolína (KST Blansko)</v>
      </c>
      <c r="AV14" s="28">
        <f>VLOOKUP(AU14,$AS14:$AT17,2,FALSE)</f>
        <v>4</v>
      </c>
      <c r="AW14" s="28" t="str">
        <f>IF($AV14&gt;=$AV17,$AU14,$AU17)</f>
        <v>NOVOHRADSKÁ Karolína (KST Blansko)</v>
      </c>
      <c r="AX14" s="28">
        <f>VLOOKUP(AW14,$AU14:$AV17,2,FALSE)</f>
        <v>4</v>
      </c>
      <c r="AY14" s="28">
        <f>VLOOKUP(AW14,$AJ14:$AQ17,6,FALSE)</f>
        <v>6</v>
      </c>
      <c r="AZ14" s="28">
        <f>VLOOKUP(AW14,$AJ14:$AQ17,7,FALSE)</f>
        <v>6</v>
      </c>
      <c r="BA14" s="28">
        <f>AY14-AZ14</f>
        <v>0</v>
      </c>
      <c r="BB14" s="28" t="str">
        <f>IF(AND($AX14=$AX15,$BA15&gt;$BA14),$AW15,$AW14)</f>
        <v>HORNÍČEK Lukáš (TTC MS Brno)</v>
      </c>
      <c r="BC14" s="28">
        <f>VLOOKUP(BB14,$AW14:$BA17,2,FALSE)</f>
        <v>4</v>
      </c>
      <c r="BD14" s="28">
        <f>VLOOKUP(BB14,$AW14:$BA17,5,FALSE)</f>
        <v>3</v>
      </c>
      <c r="BE14" s="28" t="str">
        <f>IF(AND($BC14=$BC16,$BD16&gt;$BD14),$BB16,$BB14)</f>
        <v>HOLUBOVÁ Simona (SKST Hodonín)</v>
      </c>
      <c r="BF14" s="28">
        <f>VLOOKUP(BE14,$BB14:$BD17,2,FALSE)</f>
        <v>4</v>
      </c>
      <c r="BG14" s="28">
        <f>VLOOKUP(BE14,$BB14:$BD17,3,FALSE)</f>
        <v>5</v>
      </c>
      <c r="BH14" s="28" t="str">
        <f>IF(AND($BF14=$BF17,$BG17&gt;$BG14),$BE17,$BE14)</f>
        <v>HOLUBOVÁ Simona (SKST Hodonín)</v>
      </c>
      <c r="BI14" s="28">
        <f>VLOOKUP(BH14,$BE14:$BG17,2,FALSE)</f>
        <v>4</v>
      </c>
      <c r="BJ14" s="28">
        <f>VLOOKUP(BH14,$BE14:$BG17,3,FALSE)</f>
        <v>5</v>
      </c>
      <c r="BK14" s="28">
        <f>VLOOKUP(BH14,$AJ14:$AQ17,6,FALSE)</f>
        <v>8</v>
      </c>
      <c r="BL14" s="28" t="str">
        <f>IF(AND($BI14=$BI15,$BJ14=$BJ15,$BK15&gt;$BK14),$BH15,$BH14)</f>
        <v>HOLUBOVÁ Simona (SKST Hodonín)</v>
      </c>
      <c r="BM14" s="28">
        <f>VLOOKUP(BL14,$BH14:$BK17,2,FALSE)</f>
        <v>4</v>
      </c>
      <c r="BN14" s="28">
        <f>VLOOKUP(BL14,$BH14:$BK17,3,FALSE)</f>
        <v>5</v>
      </c>
      <c r="BO14" s="28">
        <f>VLOOKUP(BL14,$BH14:$BK17,4,FALSE)</f>
        <v>8</v>
      </c>
      <c r="BP14" s="28" t="str">
        <f>IF(AND($BM14=$BM16,$BN14=$BN16,$BO16&gt;$BO14),$BL16,$BL14)</f>
        <v>HOLUBOVÁ Simona (SKST Hodonín)</v>
      </c>
      <c r="BQ14" s="28">
        <f>VLOOKUP(BP14,$BL14:$BO17,2,FALSE)</f>
        <v>4</v>
      </c>
      <c r="BR14" s="28">
        <f>VLOOKUP(BP14,$BL14:$BO17,3,FALSE)</f>
        <v>5</v>
      </c>
      <c r="BS14" s="28">
        <f>VLOOKUP(BP14,$BL14:$BO17,4,FALSE)</f>
        <v>8</v>
      </c>
      <c r="BT14" s="28" t="str">
        <f>IF(AND($BQ14=$BQ17,$BR14=$BR17,$BS17&gt;$BS14),$BP17,$BP14)</f>
        <v>HOLUBOVÁ Simona (SKST Hodonín)</v>
      </c>
      <c r="BU14" s="28">
        <f>VLOOKUP(BT14,$BP14:$BS17,2,FALSE)</f>
        <v>4</v>
      </c>
      <c r="BV14" s="28">
        <f>VLOOKUP(BT14,$BP14:$BS17,3,FALSE)</f>
        <v>5</v>
      </c>
      <c r="BW14" s="28">
        <f>VLOOKUP(BT14,$BP14:$BS17,4,FALSE)</f>
        <v>8</v>
      </c>
      <c r="BX14" s="28" t="str">
        <f>BT14</f>
        <v>HOLUBOVÁ Simona (SKST Hodonín)</v>
      </c>
      <c r="BY14" s="28">
        <f>VLOOKUP($BX14,$AJ14:$AQ17,2,FALSE)</f>
        <v>3</v>
      </c>
      <c r="BZ14" s="28">
        <f>VLOOKUP($BX14,$AJ14:$AQ17,3,FALSE)</f>
        <v>2</v>
      </c>
      <c r="CA14" s="28">
        <f>VLOOKUP($BX14,$AJ14:$AQ17,4,FALSE)</f>
        <v>0</v>
      </c>
      <c r="CB14" s="28">
        <f>VLOOKUP($BX14,$AJ14:$AQ17,5,FALSE)</f>
        <v>1</v>
      </c>
      <c r="CC14" s="28">
        <f>VLOOKUP($BX14,$AJ14:$AQ17,6,FALSE)</f>
        <v>8</v>
      </c>
      <c r="CD14" s="28">
        <f>VLOOKUP($BX14,$AJ14:$AQ17,7,FALSE)</f>
        <v>3</v>
      </c>
      <c r="CE14" s="28">
        <f>VLOOKUP($BX14,$AJ14:$AQ17,8,FALSE)</f>
        <v>4</v>
      </c>
      <c r="CF14" s="128" t="str">
        <f>CONCATENATE(CC14,":",CD14)</f>
        <v>8:3</v>
      </c>
    </row>
    <row r="15" spans="1:84" x14ac:dyDescent="0.2">
      <c r="A15" s="27" t="str">
        <f>'1-zapasy'!B12</f>
        <v>HOLUBOVÁ Simona (SKST Hodonín)</v>
      </c>
      <c r="B15" s="220">
        <f>'1-zapasy'!I12</f>
        <v>3</v>
      </c>
      <c r="C15" s="220" t="e">
        <f>'3-zapasy'!#REF!</f>
        <v>#REF!</v>
      </c>
      <c r="D15" s="220">
        <f>'1-zapasy'!J12</f>
        <v>0</v>
      </c>
      <c r="E15" s="27" t="str">
        <f>'1-zapasy'!C12</f>
        <v>HORNÍČEK Lukáš (TTC MS Brno)</v>
      </c>
      <c r="F15" s="28">
        <f>COUNTBLANK('1-zapasy'!I12:'1-zapasy'!J12)</f>
        <v>0</v>
      </c>
      <c r="G15" s="28">
        <f>IF(AND(F15=0,OR($A15=$G12,$E15=$G12)),1,0)</f>
        <v>0</v>
      </c>
      <c r="H15" s="28">
        <f>IF(AND(F15=0,OR(AND($A15=$G12,$B15&gt;$D15),AND($E15=$G12,$D15&gt;$B15))),1,0)</f>
        <v>0</v>
      </c>
      <c r="I15" s="28">
        <f t="shared" si="13"/>
        <v>0</v>
      </c>
      <c r="J15" s="28">
        <f>IF(AND(F15=0,OR(AND($A15=$G12,$B15&lt;$D15),AND($E15=$G12,$D15&lt;$B15))),1,0)</f>
        <v>0</v>
      </c>
      <c r="K15" s="28">
        <f>IF(F15&gt;0,0,IF($A15=$G12,$B15,IF($E15=$G12,$D15,0)))</f>
        <v>0</v>
      </c>
      <c r="L15" s="28">
        <f>IF(F15&gt;0,0,IF($A15=$G12,$D15,IF($E15=$G12,$B15,0)))</f>
        <v>0</v>
      </c>
      <c r="M15">
        <f t="shared" si="14"/>
        <v>0</v>
      </c>
      <c r="N15">
        <f>IF(AND(F15=0,OR($A15=$N12,$E15=$N12)),1,0)</f>
        <v>0</v>
      </c>
      <c r="O15">
        <f>IF(AND(F15=0,OR(AND($A15=$N12,$B15&gt;$D15),AND($E15=$N12,$D15&gt;$B15))),1,0)</f>
        <v>0</v>
      </c>
      <c r="P15">
        <f t="shared" si="15"/>
        <v>0</v>
      </c>
      <c r="Q15">
        <f>IF(AND(F15=0,OR(AND($A15=$N12,$B15&lt;$D15),AND($E15=$N12,$D15&lt;$B15))),1,0)</f>
        <v>0</v>
      </c>
      <c r="R15">
        <f>IF(F15&gt;0,0,IF($A15=$N12,$B15,IF($E15=$N12,$D15,0)))</f>
        <v>0</v>
      </c>
      <c r="S15">
        <f>IF(F15&gt;0,0,IF($A15=$N12,$D15,IF($E15=$N12,$B15,0)))</f>
        <v>0</v>
      </c>
      <c r="T15">
        <f t="shared" si="16"/>
        <v>0</v>
      </c>
      <c r="U15">
        <f>IF(AND(F15=0,OR($A15=$U12,$E15=$U12)),1,0)</f>
        <v>1</v>
      </c>
      <c r="V15">
        <f>IF(AND(F15=0,OR(AND($A15=$U12,$B15&gt;$D15),AND($E15=$U12,$D15&gt;$B15))),1,0)</f>
        <v>1</v>
      </c>
      <c r="W15">
        <f t="shared" si="17"/>
        <v>0</v>
      </c>
      <c r="X15">
        <f>IF(AND(F15=0,OR(AND($A15=$U12,$B15&lt;$D15),AND($E15=$U12,$D15&lt;$B15))),1,0)</f>
        <v>0</v>
      </c>
      <c r="Y15">
        <f>IF(F15&gt;0,0,IF($A15=$U12,$B15,IF($E15=$U12,$D15,0)))</f>
        <v>3</v>
      </c>
      <c r="Z15">
        <f>IF(F15&gt;0,0,IF($A15=$U12,$D15,IF($E15=$U12,$B15,0)))</f>
        <v>0</v>
      </c>
      <c r="AA15">
        <f t="shared" si="18"/>
        <v>2</v>
      </c>
      <c r="AB15">
        <f>IF(AND(F15=0,OR($A15=$AB12,$E15=$AB12)),1,0)</f>
        <v>1</v>
      </c>
      <c r="AC15">
        <f>IF(AND(F15=0,OR(AND($A15=$AB12,$B15&gt;$D15),AND($E15=$AB12,$D15&gt;$B15))),1,0)</f>
        <v>0</v>
      </c>
      <c r="AD15">
        <f t="shared" si="19"/>
        <v>0</v>
      </c>
      <c r="AE15">
        <f>IF(AND(F15=0,OR(AND($A15=$AB12,$B15&lt;$D15),AND($E15=$AB12,$D15&lt;$B15))),1,0)</f>
        <v>1</v>
      </c>
      <c r="AF15">
        <f>IF(F15&gt;0,0,IF($A15=$AB12,$B15,IF($E15=$AB12,$D15,0)))</f>
        <v>0</v>
      </c>
      <c r="AG15">
        <f>IF(F15&gt;0,0,IF($A15=$AB12,$D15,IF($E15=$AB12,$B15,0)))</f>
        <v>3</v>
      </c>
      <c r="AH15">
        <f t="shared" si="20"/>
        <v>0</v>
      </c>
      <c r="AJ15" s="28" t="str">
        <f>N12</f>
        <v>GRÜNWALD Michal (KST Vyškov)</v>
      </c>
      <c r="AK15" s="28">
        <f t="shared" ref="AK15:AQ15" si="22">N20</f>
        <v>3</v>
      </c>
      <c r="AL15" s="28">
        <f t="shared" si="22"/>
        <v>0</v>
      </c>
      <c r="AM15" s="28">
        <f t="shared" si="22"/>
        <v>0</v>
      </c>
      <c r="AN15" s="28">
        <f t="shared" si="22"/>
        <v>3</v>
      </c>
      <c r="AO15" s="28">
        <f t="shared" si="22"/>
        <v>1</v>
      </c>
      <c r="AP15" s="28">
        <f t="shared" si="22"/>
        <v>9</v>
      </c>
      <c r="AQ15" s="28">
        <f t="shared" si="22"/>
        <v>0</v>
      </c>
      <c r="AS15" s="28" t="str">
        <f>IF($AQ15&lt;=$AQ14,$AJ15,$AJ14)</f>
        <v>GRÜNWALD Michal (KST Vyškov)</v>
      </c>
      <c r="AT15" s="28">
        <f>VLOOKUP(AS15,$AJ14:$AQ17,8,FALSE)</f>
        <v>0</v>
      </c>
      <c r="AU15" s="28" t="str">
        <f>IF($AT15&gt;=$AT17,$AS15,$AS17)</f>
        <v>HORNÍČEK Lukáš (TTC MS Brno)</v>
      </c>
      <c r="AV15" s="28">
        <f>VLOOKUP(AU15,$AS14:$AT17,2,FALSE)</f>
        <v>4</v>
      </c>
      <c r="AW15" s="28" t="str">
        <f>IF($AV15&gt;=$AV16,$AU15,$AU16)</f>
        <v>HORNÍČEK Lukáš (TTC MS Brno)</v>
      </c>
      <c r="AX15" s="28">
        <f>VLOOKUP(AW15,$AU14:$AV17,2,FALSE)</f>
        <v>4</v>
      </c>
      <c r="AY15" s="28">
        <f>VLOOKUP(AW15,$AJ14:$AQ17,6,FALSE)</f>
        <v>6</v>
      </c>
      <c r="AZ15" s="28">
        <f>VLOOKUP(AW15,$AJ14:$AQ17,7,FALSE)</f>
        <v>3</v>
      </c>
      <c r="BA15" s="28">
        <f>AY15-AZ15</f>
        <v>3</v>
      </c>
      <c r="BB15" s="28" t="str">
        <f>IF(AND($AX14=$AX15,$BA15&gt;$BA14),$AW14,$AW15)</f>
        <v>NOVOHRADSKÁ Karolína (KST Blansko)</v>
      </c>
      <c r="BC15" s="28">
        <f>VLOOKUP(BB15,$AW14:$BA17,2,FALSE)</f>
        <v>4</v>
      </c>
      <c r="BD15" s="28">
        <f>VLOOKUP(BB15,$AW14:$BA17,5,FALSE)</f>
        <v>0</v>
      </c>
      <c r="BE15" s="28" t="str">
        <f>IF(AND($BC15=$BC17,$BD17&gt;$BD15),$BB17,$BB15)</f>
        <v>NOVOHRADSKÁ Karolína (KST Blansko)</v>
      </c>
      <c r="BF15" s="28">
        <f>VLOOKUP(BE15,$BB14:$BD17,2,FALSE)</f>
        <v>4</v>
      </c>
      <c r="BG15" s="28">
        <f>VLOOKUP(BE15,$BB14:$BD17,3,FALSE)</f>
        <v>0</v>
      </c>
      <c r="BH15" s="28" t="str">
        <f>IF(AND($BF15=$BF16,$BG16&gt;$BG15),$BE16,$BE15)</f>
        <v>HORNÍČEK Lukáš (TTC MS Brno)</v>
      </c>
      <c r="BI15" s="28">
        <f>VLOOKUP(BH15,$BE14:$BG17,2,FALSE)</f>
        <v>4</v>
      </c>
      <c r="BJ15" s="28">
        <f>VLOOKUP(BH15,$BE14:$BG17,3,FALSE)</f>
        <v>3</v>
      </c>
      <c r="BK15" s="28">
        <f>VLOOKUP(BH15,$AJ14:$AQ17,6,FALSE)</f>
        <v>6</v>
      </c>
      <c r="BL15" s="28" t="str">
        <f>IF(AND($BI14=$BI15,$BJ14=$BJ15,$BK15&gt;$BK14),$BH14,$BH15)</f>
        <v>HORNÍČEK Lukáš (TTC MS Brno)</v>
      </c>
      <c r="BM15" s="28">
        <f>VLOOKUP(BL15,$BH14:$BK17,2,FALSE)</f>
        <v>4</v>
      </c>
      <c r="BN15" s="28">
        <f>VLOOKUP(BL15,$BH14:$BK17,3,FALSE)</f>
        <v>3</v>
      </c>
      <c r="BO15" s="28">
        <f>VLOOKUP(BL15,$BH14:$BK17,4,FALSE)</f>
        <v>6</v>
      </c>
      <c r="BP15" s="28" t="str">
        <f>IF(AND($BM15=$BM17,$BN15=$BN17,$BO17&gt;$BO15),$BL17,$BL15)</f>
        <v>HORNÍČEK Lukáš (TTC MS Brno)</v>
      </c>
      <c r="BQ15" s="28">
        <f>VLOOKUP(BP15,$BL14:$BO17,2,FALSE)</f>
        <v>4</v>
      </c>
      <c r="BR15" s="28">
        <f>VLOOKUP(BP15,$BL14:$BO17,3,FALSE)</f>
        <v>3</v>
      </c>
      <c r="BS15" s="28">
        <f>VLOOKUP(BP15,$BL14:$BO17,4,FALSE)</f>
        <v>6</v>
      </c>
      <c r="BT15" s="28" t="str">
        <f>IF(AND($BQ15=$BQ16,$BR15=$BR16,$BS16&gt;$BS15),$BP16,$BP15)</f>
        <v>HORNÍČEK Lukáš (TTC MS Brno)</v>
      </c>
      <c r="BU15" s="28">
        <f>VLOOKUP(BT15,$BP14:$BS17,2,FALSE)</f>
        <v>4</v>
      </c>
      <c r="BV15" s="28">
        <f>VLOOKUP(BT15,$BP14:$BS17,3,FALSE)</f>
        <v>3</v>
      </c>
      <c r="BW15" s="28">
        <f>VLOOKUP(BT15,$BP14:$BS17,4,FALSE)</f>
        <v>6</v>
      </c>
      <c r="BX15" s="28" t="str">
        <f>BT15</f>
        <v>HORNÍČEK Lukáš (TTC MS Brno)</v>
      </c>
      <c r="BY15" s="28">
        <f>VLOOKUP($BX15,$AJ14:$AQ17,2,FALSE)</f>
        <v>3</v>
      </c>
      <c r="BZ15" s="28">
        <f>VLOOKUP($BX15,$AJ14:$AQ17,3,FALSE)</f>
        <v>2</v>
      </c>
      <c r="CA15" s="28">
        <f>VLOOKUP($BX15,$AJ14:$AQ17,4,FALSE)</f>
        <v>0</v>
      </c>
      <c r="CB15" s="28">
        <f>VLOOKUP($BX15,$AJ14:$AQ17,5,FALSE)</f>
        <v>1</v>
      </c>
      <c r="CC15" s="28">
        <f>VLOOKUP($BX15,$AJ14:$AQ17,6,FALSE)</f>
        <v>6</v>
      </c>
      <c r="CD15" s="28">
        <f>VLOOKUP($BX15,$AJ14:$AQ17,7,FALSE)</f>
        <v>3</v>
      </c>
      <c r="CE15" s="28">
        <f>VLOOKUP($BX15,$AJ14:$AQ17,8,FALSE)</f>
        <v>4</v>
      </c>
      <c r="CF15" s="128" t="str">
        <f>CONCATENATE(CC15,":",CD15)</f>
        <v>6:3</v>
      </c>
    </row>
    <row r="16" spans="1:84" x14ac:dyDescent="0.2">
      <c r="A16" s="27" t="str">
        <f>'1-zapasy'!B13</f>
        <v>GRÜNWALD Michal (KST Vyškov)</v>
      </c>
      <c r="B16" s="220">
        <f>'1-zapasy'!I13</f>
        <v>0</v>
      </c>
      <c r="C16" s="220" t="e">
        <f>'3-zapasy'!#REF!</f>
        <v>#REF!</v>
      </c>
      <c r="D16" s="220">
        <f>'1-zapasy'!J13</f>
        <v>3</v>
      </c>
      <c r="E16" s="27" t="str">
        <f>'1-zapasy'!C13</f>
        <v>HOLUBOVÁ Simona (SKST Hodonín)</v>
      </c>
      <c r="F16" s="28">
        <f>COUNTBLANK('1-zapasy'!I13:'1-zapasy'!J13)</f>
        <v>0</v>
      </c>
      <c r="G16" s="28">
        <f>IF(AND(F16=0,OR($A16=$G12,$E16=$G12)),1,0)</f>
        <v>0</v>
      </c>
      <c r="H16" s="28">
        <f>IF(AND(F16=0,OR(AND($A16=$G12,$B16&gt;$D16),AND($E16=$G12,$D16&gt;$B16))),1,0)</f>
        <v>0</v>
      </c>
      <c r="I16" s="28">
        <f t="shared" si="13"/>
        <v>0</v>
      </c>
      <c r="J16" s="28">
        <f>IF(AND(F16=0,OR(AND($A16=$G12,$B16&lt;$D16),AND($E16=$G12,$D16&lt;$B16))),1,0)</f>
        <v>0</v>
      </c>
      <c r="K16" s="28">
        <f>IF(F16&gt;0,0,IF($A16=$G12,$B16,IF($E16=$G12,$D16,0)))</f>
        <v>0</v>
      </c>
      <c r="L16" s="28">
        <f>IF(F16&gt;0,0,IF($A16=$G12,$D16,IF($E16=$G12,$B16,0)))</f>
        <v>0</v>
      </c>
      <c r="M16">
        <f t="shared" si="14"/>
        <v>0</v>
      </c>
      <c r="N16">
        <f>IF(AND(F16=0,OR($A16=$N12,$E16=$N12)),1,0)</f>
        <v>1</v>
      </c>
      <c r="O16">
        <f>IF(AND(F16=0,OR(AND($A16=$N12,$B16&gt;$D16),AND($E16=$N12,$D16&gt;$B16))),1,0)</f>
        <v>0</v>
      </c>
      <c r="P16">
        <f t="shared" si="15"/>
        <v>0</v>
      </c>
      <c r="Q16">
        <f>IF(AND(F16=0,OR(AND($A16=$N12,$B16&lt;$D16),AND($E16=$N12,$D16&lt;$B16))),1,0)</f>
        <v>1</v>
      </c>
      <c r="R16">
        <f>IF(F16&gt;0,0,IF($A16=$N12,$B16,IF($E16=$N12,$D16,0)))</f>
        <v>0</v>
      </c>
      <c r="S16">
        <f>IF(F16&gt;0,0,IF($A16=$N12,$D16,IF($E16=$N12,$B16,0)))</f>
        <v>3</v>
      </c>
      <c r="T16">
        <f t="shared" si="16"/>
        <v>0</v>
      </c>
      <c r="U16">
        <f>IF(AND(F16=0,OR($A16=$U12,$E16=$U12)),1,0)</f>
        <v>1</v>
      </c>
      <c r="V16">
        <f>IF(AND(F16=0,OR(AND($A16=$U12,$B16&gt;$D16),AND($E16=$U12,$D16&gt;$B16))),1,0)</f>
        <v>1</v>
      </c>
      <c r="W16">
        <f t="shared" si="17"/>
        <v>0</v>
      </c>
      <c r="X16">
        <f>IF(AND(F16=0,OR(AND($A16=$U12,$B16&lt;$D16),AND($E16=$U12,$D16&lt;$B16))),1,0)</f>
        <v>0</v>
      </c>
      <c r="Y16">
        <f>IF(F16&gt;0,0,IF($A16=$U12,$B16,IF($E16=$U12,$D16,0)))</f>
        <v>3</v>
      </c>
      <c r="Z16">
        <f>IF(F16&gt;0,0,IF($A16=$U12,$D16,IF($E16=$U12,$B16,0)))</f>
        <v>0</v>
      </c>
      <c r="AA16">
        <f t="shared" si="18"/>
        <v>2</v>
      </c>
      <c r="AB16">
        <f>IF(AND(F16=0,OR($A16=$AB12,$E16=$AB12)),1,0)</f>
        <v>0</v>
      </c>
      <c r="AC16">
        <f>IF(AND(F16=0,OR(AND($A16=$AB12,$B16&gt;$D16),AND($E16=$AB12,$D16&gt;$B16))),1,0)</f>
        <v>0</v>
      </c>
      <c r="AD16">
        <f t="shared" si="19"/>
        <v>0</v>
      </c>
      <c r="AE16">
        <f>IF(AND(F16=0,OR(AND($A16=$AB12,$B16&lt;$D16),AND($E16=$AB12,$D16&lt;$B16))),1,0)</f>
        <v>0</v>
      </c>
      <c r="AF16">
        <f>IF(F16&gt;0,0,IF($A16=$AB12,$B16,IF($E16=$AB12,$D16,0)))</f>
        <v>0</v>
      </c>
      <c r="AG16">
        <f>IF(F16&gt;0,0,IF($A16=$AB12,$D16,IF($E16=$AB12,$B16,0)))</f>
        <v>0</v>
      </c>
      <c r="AH16">
        <f t="shared" si="20"/>
        <v>0</v>
      </c>
      <c r="AJ16" s="28" t="str">
        <f>U12</f>
        <v>HOLUBOVÁ Simona (SKST Hodonín)</v>
      </c>
      <c r="AK16" s="28">
        <f t="shared" ref="AK16:AQ16" si="23">U20</f>
        <v>3</v>
      </c>
      <c r="AL16" s="28">
        <f t="shared" si="23"/>
        <v>2</v>
      </c>
      <c r="AM16" s="28">
        <f t="shared" si="23"/>
        <v>0</v>
      </c>
      <c r="AN16" s="28">
        <f t="shared" si="23"/>
        <v>1</v>
      </c>
      <c r="AO16" s="28">
        <f t="shared" si="23"/>
        <v>8</v>
      </c>
      <c r="AP16" s="28">
        <f t="shared" si="23"/>
        <v>3</v>
      </c>
      <c r="AQ16" s="28">
        <f t="shared" si="23"/>
        <v>4</v>
      </c>
      <c r="AS16" s="28" t="str">
        <f>IF($AQ16&gt;=$AQ17,$AJ16,$AJ17)</f>
        <v>HOLUBOVÁ Simona (SKST Hodonín)</v>
      </c>
      <c r="AT16" s="28">
        <f>VLOOKUP(AS16,$AJ14:$AQ17,8,FALSE)</f>
        <v>4</v>
      </c>
      <c r="AU16" s="28" t="str">
        <f>IF($AT16&lt;=$AT14,$AS16,$AS14)</f>
        <v>HOLUBOVÁ Simona (SKST Hodonín)</v>
      </c>
      <c r="AV16" s="28">
        <f>VLOOKUP(AU16,$AS14:$AT17,2,FALSE)</f>
        <v>4</v>
      </c>
      <c r="AW16" s="28" t="str">
        <f>IF($AV16&lt;=$AV15,$AU16,$AU15)</f>
        <v>HOLUBOVÁ Simona (SKST Hodonín)</v>
      </c>
      <c r="AX16" s="28">
        <f>VLOOKUP(AW16,$AU14:$AV17,2,FALSE)</f>
        <v>4</v>
      </c>
      <c r="AY16" s="28">
        <f>VLOOKUP(AW16,$AJ14:$AQ17,6,FALSE)</f>
        <v>8</v>
      </c>
      <c r="AZ16" s="28">
        <f>VLOOKUP(AW16,$AJ14:$AQ17,7,FALSE)</f>
        <v>3</v>
      </c>
      <c r="BA16" s="28">
        <f>AY16-AZ16</f>
        <v>5</v>
      </c>
      <c r="BB16" s="28" t="str">
        <f>IF(AND($AX16=$AX17,$BA17&gt;$BA16),$AW17,$AW16)</f>
        <v>HOLUBOVÁ Simona (SKST Hodonín)</v>
      </c>
      <c r="BC16" s="28">
        <f>VLOOKUP(BB16,$AW14:$BA17,2,FALSE)</f>
        <v>4</v>
      </c>
      <c r="BD16" s="28">
        <f>VLOOKUP(BB16,$AW14:$BA17,5,FALSE)</f>
        <v>5</v>
      </c>
      <c r="BE16" s="28" t="str">
        <f>IF(AND($BC14=$BC16,$BD16&gt;$BD14),$BB14,$BB16)</f>
        <v>HORNÍČEK Lukáš (TTC MS Brno)</v>
      </c>
      <c r="BF16" s="28">
        <f>VLOOKUP(BE16,$BB14:$BD17,2,FALSE)</f>
        <v>4</v>
      </c>
      <c r="BG16" s="28">
        <f>VLOOKUP(BE16,$BB14:$BD17,3,FALSE)</f>
        <v>3</v>
      </c>
      <c r="BH16" s="28" t="str">
        <f>IF(AND($BF15=$BF16,$BG16&gt;$BG15),$BE15,$BE16)</f>
        <v>NOVOHRADSKÁ Karolína (KST Blansko)</v>
      </c>
      <c r="BI16" s="28">
        <f>VLOOKUP(BH16,$BE14:$BG17,2,FALSE)</f>
        <v>4</v>
      </c>
      <c r="BJ16" s="28">
        <f>VLOOKUP(BH16,$BE14:$BG17,3,FALSE)</f>
        <v>0</v>
      </c>
      <c r="BK16" s="28">
        <f>VLOOKUP(BH16,$AJ14:$AQ17,6,FALSE)</f>
        <v>6</v>
      </c>
      <c r="BL16" s="28" t="str">
        <f>IF(AND($BI16=$BI17,$BJ16=$BJ17,$BK17&gt;$BK16),$BH17,$BH16)</f>
        <v>NOVOHRADSKÁ Karolína (KST Blansko)</v>
      </c>
      <c r="BM16" s="28">
        <f>VLOOKUP(BL16,$BH14:$BK17,2,FALSE)</f>
        <v>4</v>
      </c>
      <c r="BN16" s="28">
        <f>VLOOKUP(BL16,$BH14:$BK17,3,FALSE)</f>
        <v>0</v>
      </c>
      <c r="BO16" s="28">
        <f>VLOOKUP(BL16,$BH14:$BK17,4,FALSE)</f>
        <v>6</v>
      </c>
      <c r="BP16" s="28" t="str">
        <f>IF(AND($BM14=$BM16,$BN14=$BN16,$BO16&gt;$BO14),$BL14,$BL16)</f>
        <v>NOVOHRADSKÁ Karolína (KST Blansko)</v>
      </c>
      <c r="BQ16" s="28">
        <f>VLOOKUP(BP16,$BL14:$BO17,2,FALSE)</f>
        <v>4</v>
      </c>
      <c r="BR16" s="28">
        <f>VLOOKUP(BP16,$BL14:$BO17,3,FALSE)</f>
        <v>0</v>
      </c>
      <c r="BS16" s="28">
        <f>VLOOKUP(BP16,$BL14:$BO17,4,FALSE)</f>
        <v>6</v>
      </c>
      <c r="BT16" s="28" t="str">
        <f>IF(AND($BQ15=$BQ16,$BR15=$BR16,$BS16&gt;$BS15),$BP15,$BP16)</f>
        <v>NOVOHRADSKÁ Karolína (KST Blansko)</v>
      </c>
      <c r="BU16" s="28">
        <f>VLOOKUP(BT16,$BP14:$BS17,2,FALSE)</f>
        <v>4</v>
      </c>
      <c r="BV16" s="28">
        <f>VLOOKUP(BT16,$BP14:$BS17,3,FALSE)</f>
        <v>0</v>
      </c>
      <c r="BW16" s="28">
        <f>VLOOKUP(BT16,$BP14:$BS17,4,FALSE)</f>
        <v>6</v>
      </c>
      <c r="BX16" s="28" t="str">
        <f>BT16</f>
        <v>NOVOHRADSKÁ Karolína (KST Blansko)</v>
      </c>
      <c r="BY16" s="28">
        <f>VLOOKUP($BX16,$AJ14:$AQ17,2,FALSE)</f>
        <v>3</v>
      </c>
      <c r="BZ16" s="28">
        <f>VLOOKUP($BX16,$AJ14:$AQ17,3,FALSE)</f>
        <v>2</v>
      </c>
      <c r="CA16" s="28">
        <f>VLOOKUP($BX16,$AJ14:$AQ17,4,FALSE)</f>
        <v>0</v>
      </c>
      <c r="CB16" s="28">
        <f>VLOOKUP($BX16,$AJ14:$AQ17,5,FALSE)</f>
        <v>1</v>
      </c>
      <c r="CC16" s="28">
        <f>VLOOKUP($BX16,$AJ14:$AQ17,6,FALSE)</f>
        <v>6</v>
      </c>
      <c r="CD16" s="28">
        <f>VLOOKUP($BX16,$AJ14:$AQ17,7,FALSE)</f>
        <v>6</v>
      </c>
      <c r="CE16" s="28">
        <f>VLOOKUP($BX16,$AJ14:$AQ17,8,FALSE)</f>
        <v>4</v>
      </c>
      <c r="CF16" s="128" t="str">
        <f>CONCATENATE(CC16,":",CD16)</f>
        <v>6:6</v>
      </c>
    </row>
    <row r="17" spans="1:84" x14ac:dyDescent="0.2">
      <c r="A17" s="27" t="str">
        <f>'1-zapasy'!B14</f>
        <v>HORNÍČEK Lukáš (TTC MS Brno)</v>
      </c>
      <c r="B17" s="220">
        <f>'1-zapasy'!I14</f>
        <v>3</v>
      </c>
      <c r="C17" s="220" t="e">
        <f>'3-zapasy'!#REF!</f>
        <v>#REF!</v>
      </c>
      <c r="D17" s="220">
        <f>'1-zapasy'!J14</f>
        <v>0</v>
      </c>
      <c r="E17" s="27" t="str">
        <f>'1-zapasy'!C14</f>
        <v>NOVOHRADSKÁ Karolína (KST Blansko)</v>
      </c>
      <c r="F17" s="28">
        <f>COUNTBLANK('1-zapasy'!I14:'1-zapasy'!J14)</f>
        <v>0</v>
      </c>
      <c r="G17" s="28">
        <f>IF(AND(F17=0,OR($A17=$G12,$E17=$G12)),1,0)</f>
        <v>1</v>
      </c>
      <c r="H17" s="28">
        <f>IF(AND(F17=0,OR(AND($A17=$G12,$B17&gt;$D17),AND($E17=$G12,$D17&gt;$B17))),1,0)</f>
        <v>0</v>
      </c>
      <c r="I17" s="28">
        <f t="shared" si="13"/>
        <v>0</v>
      </c>
      <c r="J17" s="28">
        <f>IF(AND(F17=0,OR(AND($A17=$G12,$B17&lt;$D17),AND($E17=$G12,$D17&lt;$B17))),1,0)</f>
        <v>1</v>
      </c>
      <c r="K17" s="28">
        <f>IF(F17&gt;0,0,IF($A17=$G12,$B17,IF($E17=$G12,$D17,0)))</f>
        <v>0</v>
      </c>
      <c r="L17" s="28">
        <f>IF(F17&gt;0,0,IF($A17=$G12,$D17,IF($E17=$G12,$B17,0)))</f>
        <v>3</v>
      </c>
      <c r="M17">
        <f t="shared" si="14"/>
        <v>0</v>
      </c>
      <c r="N17">
        <f>IF(AND(F17=0,OR($A17=$N12,$E17=$N12)),1,0)</f>
        <v>0</v>
      </c>
      <c r="O17">
        <f>IF(AND(F17=0,OR(AND($A17=$N12,$B17&gt;$D17),AND($E17=$N12,$D17&gt;$B17))),1,0)</f>
        <v>0</v>
      </c>
      <c r="P17">
        <f t="shared" si="15"/>
        <v>0</v>
      </c>
      <c r="Q17">
        <f>IF(AND(F17=0,OR(AND($A17=$N12,$B17&lt;$D17),AND($E17=$N12,$D17&lt;$B17))),1,0)</f>
        <v>0</v>
      </c>
      <c r="R17">
        <f>IF(F17&gt;0,0,IF($A17=$N12,$B17,IF($E17=$N12,$D17,0)))</f>
        <v>0</v>
      </c>
      <c r="S17">
        <f>IF(F17&gt;0,0,IF($A17=$N12,$D17,IF($E17=$N12,$B17,0)))</f>
        <v>0</v>
      </c>
      <c r="T17">
        <f t="shared" si="16"/>
        <v>0</v>
      </c>
      <c r="U17">
        <f>IF(AND(F17=0,OR($A17=$U12,$E17=$U12)),1,0)</f>
        <v>0</v>
      </c>
      <c r="V17">
        <f>IF(AND(F17=0,OR(AND($A17=$U12,$B17&gt;$D17),AND($E17=$U12,$D17&gt;$B17))),1,0)</f>
        <v>0</v>
      </c>
      <c r="W17">
        <f t="shared" si="17"/>
        <v>0</v>
      </c>
      <c r="X17">
        <f>IF(AND(F17=0,OR(AND($A17=$U12,$B17&lt;$D17),AND($E17=$U12,$D17&lt;$B17))),1,0)</f>
        <v>0</v>
      </c>
      <c r="Y17">
        <f>IF(F17&gt;0,0,IF($A17=$U12,$B17,IF($E17=$U12,$D17,0)))</f>
        <v>0</v>
      </c>
      <c r="Z17">
        <f>IF(F17&gt;0,0,IF($A17=$U12,$D17,IF($E17=$U12,$B17,0)))</f>
        <v>0</v>
      </c>
      <c r="AA17">
        <f t="shared" si="18"/>
        <v>0</v>
      </c>
      <c r="AB17">
        <f>IF(AND(F17=0,OR($A17=$AB12,$E17=$AB12)),1,0)</f>
        <v>1</v>
      </c>
      <c r="AC17">
        <f>IF(AND(F17=0,OR(AND($A17=$AB12,$B17&gt;$D17),AND($E17=$AB12,$D17&gt;$B17))),1,0)</f>
        <v>1</v>
      </c>
      <c r="AD17">
        <f t="shared" si="19"/>
        <v>0</v>
      </c>
      <c r="AE17">
        <f>IF(AND(F17=0,OR(AND($A17=$AB12,$B17&lt;$D17),AND($E17=$AB12,$D17&lt;$B17))),1,0)</f>
        <v>0</v>
      </c>
      <c r="AF17">
        <f>IF(F17&gt;0,0,IF($A17=$AB12,$B17,IF($E17=$AB12,$D17,0)))</f>
        <v>3</v>
      </c>
      <c r="AG17">
        <f>IF(F17&gt;0,0,IF($A17=$AB12,$D17,IF($E17=$AB12,$B17,0)))</f>
        <v>0</v>
      </c>
      <c r="AH17">
        <f t="shared" si="20"/>
        <v>2</v>
      </c>
      <c r="AJ17" s="28" t="str">
        <f>AB12</f>
        <v>HORNÍČEK Lukáš (TTC MS Brno)</v>
      </c>
      <c r="AK17" s="28">
        <f t="shared" ref="AK17:AQ17" si="24">AB20</f>
        <v>3</v>
      </c>
      <c r="AL17" s="28">
        <f t="shared" si="24"/>
        <v>2</v>
      </c>
      <c r="AM17" s="28">
        <f t="shared" si="24"/>
        <v>0</v>
      </c>
      <c r="AN17" s="28">
        <f t="shared" si="24"/>
        <v>1</v>
      </c>
      <c r="AO17" s="28">
        <f t="shared" si="24"/>
        <v>6</v>
      </c>
      <c r="AP17" s="28">
        <f t="shared" si="24"/>
        <v>3</v>
      </c>
      <c r="AQ17" s="28">
        <f t="shared" si="24"/>
        <v>4</v>
      </c>
      <c r="AS17" s="28" t="str">
        <f>IF($AQ17&lt;=$AQ16,$AJ17,$AJ16)</f>
        <v>HORNÍČEK Lukáš (TTC MS Brno)</v>
      </c>
      <c r="AT17" s="28">
        <f>VLOOKUP(AS17,$AJ14:$AQ17,8,FALSE)</f>
        <v>4</v>
      </c>
      <c r="AU17" s="28" t="str">
        <f>IF($AT17&lt;=$AT15,$AS17,$AS15)</f>
        <v>GRÜNWALD Michal (KST Vyškov)</v>
      </c>
      <c r="AV17" s="28">
        <f>VLOOKUP(AU17,$AS14:$AT17,2,FALSE)</f>
        <v>0</v>
      </c>
      <c r="AW17" s="28" t="str">
        <f>IF($AV17&lt;=$AV14,$AU17,$AU14)</f>
        <v>GRÜNWALD Michal (KST Vyškov)</v>
      </c>
      <c r="AX17" s="28">
        <f>VLOOKUP(AW17,$AU14:$AV17,2,FALSE)</f>
        <v>0</v>
      </c>
      <c r="AY17" s="28">
        <f>VLOOKUP(AW17,$AJ14:$AQ17,6,FALSE)</f>
        <v>1</v>
      </c>
      <c r="AZ17" s="28">
        <f>VLOOKUP(AW17,$AJ14:$AQ17,7,FALSE)</f>
        <v>9</v>
      </c>
      <c r="BA17" s="28">
        <f>AY17-AZ17</f>
        <v>-8</v>
      </c>
      <c r="BB17" s="28" t="str">
        <f>IF(AND($AX16=$AX17,$BA17&gt;$BA16),$AW16,$AW17)</f>
        <v>GRÜNWALD Michal (KST Vyškov)</v>
      </c>
      <c r="BC17" s="28">
        <f>VLOOKUP(BB17,$AW14:$BA17,2,FALSE)</f>
        <v>0</v>
      </c>
      <c r="BD17" s="28">
        <f>VLOOKUP(BB17,$AW14:$BA17,5,FALSE)</f>
        <v>-8</v>
      </c>
      <c r="BE17" s="28" t="str">
        <f>IF(AND($BC15=$BC17,$BD17&gt;$BD15),$BB15,$BB17)</f>
        <v>GRÜNWALD Michal (KST Vyškov)</v>
      </c>
      <c r="BF17" s="28">
        <f>VLOOKUP(BE17,$BB14:$BD17,2,FALSE)</f>
        <v>0</v>
      </c>
      <c r="BG17" s="28">
        <f>VLOOKUP(BE17,$BB14:$BD17,3,FALSE)</f>
        <v>-8</v>
      </c>
      <c r="BH17" s="28" t="str">
        <f>IF(AND($BF14=$BF17,$BG17&gt;$BG14),$BE14,$BE17)</f>
        <v>GRÜNWALD Michal (KST Vyškov)</v>
      </c>
      <c r="BI17" s="28">
        <f>VLOOKUP(BH17,$BE14:$BG17,2,FALSE)</f>
        <v>0</v>
      </c>
      <c r="BJ17" s="28">
        <f>VLOOKUP(BH17,$BE14:$BG17,3,FALSE)</f>
        <v>-8</v>
      </c>
      <c r="BK17" s="28">
        <f>VLOOKUP(BH17,$AJ14:$AQ17,6,FALSE)</f>
        <v>1</v>
      </c>
      <c r="BL17" s="28" t="str">
        <f>IF(AND($BI16=$BI17,$BJ16=$BJ17,$BK17&gt;$BK16),$BH16,$BH17)</f>
        <v>GRÜNWALD Michal (KST Vyškov)</v>
      </c>
      <c r="BM17" s="28">
        <f>VLOOKUP(BL17,$BH14:$BK17,2,FALSE)</f>
        <v>0</v>
      </c>
      <c r="BN17" s="28">
        <f>VLOOKUP(BL17,$BH14:$BK17,3,FALSE)</f>
        <v>-8</v>
      </c>
      <c r="BO17" s="28">
        <f>VLOOKUP(BL17,$BH14:$BK17,4,FALSE)</f>
        <v>1</v>
      </c>
      <c r="BP17" s="28" t="str">
        <f>IF(AND($BM15=$BM17,$BN15=$BN17,$BO17&gt;$BO15),$BL15,$BL17)</f>
        <v>GRÜNWALD Michal (KST Vyškov)</v>
      </c>
      <c r="BQ17" s="28">
        <f>VLOOKUP(BP17,$BL14:$BO17,2,FALSE)</f>
        <v>0</v>
      </c>
      <c r="BR17" s="28">
        <f>VLOOKUP(BP17,$BL14:$BO17,3,FALSE)</f>
        <v>-8</v>
      </c>
      <c r="BS17" s="28">
        <f>VLOOKUP(BP17,$BL14:$BO17,4,FALSE)</f>
        <v>1</v>
      </c>
      <c r="BT17" s="28" t="str">
        <f>IF(AND($BQ14=$BQ17,$BR14=$BR17,$BS17&gt;$BS14),$BP14,$BP17)</f>
        <v>GRÜNWALD Michal (KST Vyškov)</v>
      </c>
      <c r="BU17" s="28">
        <f>VLOOKUP(BT17,$BP14:$BS17,2,FALSE)</f>
        <v>0</v>
      </c>
      <c r="BV17" s="28">
        <f>VLOOKUP(BT17,$BP14:$BS17,3,FALSE)</f>
        <v>-8</v>
      </c>
      <c r="BW17" s="28">
        <f>VLOOKUP(BT17,$BP14:$BS17,4,FALSE)</f>
        <v>1</v>
      </c>
      <c r="BX17" s="28" t="str">
        <f>BT17</f>
        <v>GRÜNWALD Michal (KST Vyškov)</v>
      </c>
      <c r="BY17" s="28">
        <f>VLOOKUP($BX17,$AJ14:$AQ17,2,FALSE)</f>
        <v>3</v>
      </c>
      <c r="BZ17" s="28">
        <f>VLOOKUP($BX17,$AJ14:$AQ17,3,FALSE)</f>
        <v>0</v>
      </c>
      <c r="CA17" s="28">
        <f>VLOOKUP($BX17,$AJ14:$AQ17,4,FALSE)</f>
        <v>0</v>
      </c>
      <c r="CB17" s="28">
        <f>VLOOKUP($BX17,$AJ14:$AQ17,5,FALSE)</f>
        <v>3</v>
      </c>
      <c r="CC17" s="28">
        <f>VLOOKUP($BX17,$AJ14:$AQ17,6,FALSE)</f>
        <v>1</v>
      </c>
      <c r="CD17" s="28">
        <f>VLOOKUP($BX17,$AJ14:$AQ17,7,FALSE)</f>
        <v>9</v>
      </c>
      <c r="CE17" s="28">
        <f>VLOOKUP($BX17,$AJ14:$AQ17,8,FALSE)</f>
        <v>0</v>
      </c>
      <c r="CF17" s="128" t="str">
        <f>CONCATENATE(CC17,":",CD17)</f>
        <v>1:9</v>
      </c>
    </row>
    <row r="18" spans="1:84" x14ac:dyDescent="0.2">
      <c r="A18" s="27" t="str">
        <f>'1-zapasy'!B15</f>
        <v>HORNÍČEK Lukáš (TTC MS Brno)</v>
      </c>
      <c r="B18" s="220">
        <f>'1-zapasy'!I15</f>
        <v>3</v>
      </c>
      <c r="C18" s="220" t="e">
        <f>'3-zapasy'!#REF!</f>
        <v>#REF!</v>
      </c>
      <c r="D18" s="220">
        <f>'1-zapasy'!J15</f>
        <v>0</v>
      </c>
      <c r="E18" s="27" t="str">
        <f>'1-zapasy'!C15</f>
        <v>GRÜNWALD Michal (KST Vyškov)</v>
      </c>
      <c r="F18" s="28">
        <f>COUNTBLANK('1-zapasy'!I15:'1-zapasy'!J15)</f>
        <v>0</v>
      </c>
      <c r="G18" s="28">
        <f>IF(AND(F18=0,OR($A18=$G12,$E18=$G12)),1,0)</f>
        <v>0</v>
      </c>
      <c r="H18" s="28">
        <f>IF(AND(F18=0,OR(AND($A18=$G12,$B18&gt;$D18),AND($E18=$G12,$D18&gt;$B18))),1,0)</f>
        <v>0</v>
      </c>
      <c r="I18" s="28">
        <f t="shared" si="13"/>
        <v>0</v>
      </c>
      <c r="J18" s="28">
        <f>IF(AND(F18=0,OR(AND($A18=$G12,$B18&lt;$D18),AND($E18=$G12,$D18&lt;$B18))),1,0)</f>
        <v>0</v>
      </c>
      <c r="K18" s="28">
        <f>IF(F18&gt;0,0,IF($A18=$G12,$B18,IF($E18=$G12,$D18,0)))</f>
        <v>0</v>
      </c>
      <c r="L18" s="28">
        <f>IF(F18&gt;0,0,IF($A18=$G12,$D18,IF($E18=$G12,$B18,0)))</f>
        <v>0</v>
      </c>
      <c r="M18">
        <f t="shared" si="14"/>
        <v>0</v>
      </c>
      <c r="N18">
        <f>IF(AND(F18=0,OR($A18=$N12,$E18=$N12)),1,0)</f>
        <v>1</v>
      </c>
      <c r="O18">
        <f>IF(AND(F18=0,OR(AND($A18=$N12,$B18&gt;$D18),AND($E18=$N12,$D18&gt;$B18))),1,0)</f>
        <v>0</v>
      </c>
      <c r="P18">
        <f t="shared" si="15"/>
        <v>0</v>
      </c>
      <c r="Q18">
        <f>IF(AND(F18=0,OR(AND($A18=$N12,$B18&lt;$D18),AND($E18=$N12,$D18&lt;$B18))),1,0)</f>
        <v>1</v>
      </c>
      <c r="R18">
        <f>IF(F18&gt;0,0,IF($A18=$N12,$B18,IF($E18=$N12,$D18,0)))</f>
        <v>0</v>
      </c>
      <c r="S18">
        <f>IF(F18&gt;0,0,IF($A18=$N12,$D18,IF($E18=$N12,$B18,0)))</f>
        <v>3</v>
      </c>
      <c r="T18">
        <f t="shared" si="16"/>
        <v>0</v>
      </c>
      <c r="U18">
        <f>IF(AND(F18=0,OR($A18=$U12,$E18=$U12)),1,0)</f>
        <v>0</v>
      </c>
      <c r="V18">
        <f>IF(AND(F18=0,OR(AND($A18=$U12,$B18&gt;$D18),AND($E18=$U12,$D18&gt;$B18))),1,0)</f>
        <v>0</v>
      </c>
      <c r="W18">
        <f t="shared" si="17"/>
        <v>0</v>
      </c>
      <c r="X18">
        <f>IF(AND(F18=0,OR(AND($A18=$U12,$B18&lt;$D18),AND($E18=$U12,$D18&lt;$B18))),1,0)</f>
        <v>0</v>
      </c>
      <c r="Y18">
        <f>IF(F18&gt;0,0,IF($A18=$U12,$B18,IF($E18=$U12,$D18,0)))</f>
        <v>0</v>
      </c>
      <c r="Z18">
        <f>IF(F18&gt;0,0,IF($A18=$U12,$D18,IF($E18=$U12,$B18,0)))</f>
        <v>0</v>
      </c>
      <c r="AA18">
        <f t="shared" si="18"/>
        <v>0</v>
      </c>
      <c r="AB18">
        <f>IF(AND(F18=0,OR($A18=$AB12,$E18=$AB12)),1,0)</f>
        <v>1</v>
      </c>
      <c r="AC18">
        <f>IF(AND(F18=0,OR(AND($A18=$AB12,$B18&gt;$D18),AND($E18=$AB12,$D18&gt;$B18))),1,0)</f>
        <v>1</v>
      </c>
      <c r="AD18">
        <f t="shared" si="19"/>
        <v>0</v>
      </c>
      <c r="AE18">
        <f>IF(AND(F18=0,OR(AND($A18=$AB12,$B18&lt;$D18),AND($E18=$AB12,$D18&lt;$B18))),1,0)</f>
        <v>0</v>
      </c>
      <c r="AF18">
        <f>IF(F18&gt;0,0,IF($A18=$AB12,$B18,IF($E18=$AB12,$D18,0)))</f>
        <v>3</v>
      </c>
      <c r="AG18">
        <f>IF(F18&gt;0,0,IF($A18=$AB12,$D18,IF($E18=$AB12,$B18,0)))</f>
        <v>0</v>
      </c>
      <c r="AH18">
        <f t="shared" si="20"/>
        <v>2</v>
      </c>
    </row>
    <row r="19" spans="1:84" x14ac:dyDescent="0.2">
      <c r="A19" s="27" t="str">
        <f>'1-zapasy'!B16</f>
        <v>NOVOHRADSKÁ Karolína (KST Blansko)</v>
      </c>
      <c r="B19" s="220">
        <f>'1-zapasy'!I16</f>
        <v>3</v>
      </c>
      <c r="C19" s="220" t="e">
        <f>'3-zapasy'!#REF!</f>
        <v>#REF!</v>
      </c>
      <c r="D19" s="220">
        <f>'1-zapasy'!J16</f>
        <v>2</v>
      </c>
      <c r="E19" s="27" t="str">
        <f>'1-zapasy'!C16</f>
        <v>HOLUBOVÁ Simona (SKST Hodonín)</v>
      </c>
      <c r="F19" s="28">
        <f>COUNTBLANK('1-zapasy'!I16:'1-zapasy'!J16)</f>
        <v>0</v>
      </c>
      <c r="G19" s="28">
        <f>IF(AND(F19=0,OR($A19=$G12,$E19=$G12)),1,0)</f>
        <v>1</v>
      </c>
      <c r="H19" s="28">
        <f>IF(AND(F19=0,OR(AND($A19=$G12,$B19&gt;$D19),AND($E19=$G12,$D19&gt;$B19))),1,0)</f>
        <v>1</v>
      </c>
      <c r="I19" s="28">
        <f t="shared" si="13"/>
        <v>0</v>
      </c>
      <c r="J19" s="28">
        <f>IF(AND(F19=0,OR(AND($A19=$G12,$B19&lt;$D19),AND($E19=$G12,$D19&lt;$B19))),1,0)</f>
        <v>0</v>
      </c>
      <c r="K19" s="28">
        <f>IF(F19&gt;0,0,IF($A19=$G12,$B19,IF($E19=$G12,$D19,0)))</f>
        <v>3</v>
      </c>
      <c r="L19" s="28">
        <f>IF(F19&gt;0,0,IF($A19=$G12,$D19,IF($E19=$G12,$B19,0)))</f>
        <v>2</v>
      </c>
      <c r="M19">
        <f t="shared" si="14"/>
        <v>2</v>
      </c>
      <c r="N19">
        <f>IF(AND(F19=0,OR($A19=$N12,$E19=$N12)),1,0)</f>
        <v>0</v>
      </c>
      <c r="O19">
        <f>IF(AND(F19=0,OR(AND($A19=$N12,$B19&gt;$D19),AND($E19=$N12,$D19&gt;$B19))),1,0)</f>
        <v>0</v>
      </c>
      <c r="P19">
        <f t="shared" si="15"/>
        <v>0</v>
      </c>
      <c r="Q19">
        <f>IF(AND(F19=0,OR(AND($A19=$N12,$B19&lt;$D19),AND($E19=$N12,$D19&lt;$B19))),1,0)</f>
        <v>0</v>
      </c>
      <c r="R19">
        <f>IF(F19&gt;0,0,IF($A19=$N12,$B19,IF($E19=$N12,$D19,0)))</f>
        <v>0</v>
      </c>
      <c r="S19">
        <f>IF(F19&gt;0,0,IF($A19=$N12,$D19,IF($E19=$N12,$B19,0)))</f>
        <v>0</v>
      </c>
      <c r="T19">
        <f t="shared" si="16"/>
        <v>0</v>
      </c>
      <c r="U19">
        <f>IF(AND(F19=0,OR($A19=$U12,$E19=$U12)),1,0)</f>
        <v>1</v>
      </c>
      <c r="V19">
        <f>IF(AND(F19=0,OR(AND($A19=$U12,$B19&gt;$D19),AND($E19=$U12,$D19&gt;$B19))),1,0)</f>
        <v>0</v>
      </c>
      <c r="W19">
        <f t="shared" si="17"/>
        <v>0</v>
      </c>
      <c r="X19">
        <f>IF(AND(F19=0,OR(AND($A19=$U12,$B19&lt;$D19),AND($E19=$U12,$D19&lt;$B19))),1,0)</f>
        <v>1</v>
      </c>
      <c r="Y19">
        <f>IF(F19&gt;0,0,IF($A19=$U12,$B19,IF($E19=$U12,$D19,0)))</f>
        <v>2</v>
      </c>
      <c r="Z19">
        <f>IF(F19&gt;0,0,IF($A19=$U12,$D19,IF($E19=$U12,$B19,0)))</f>
        <v>3</v>
      </c>
      <c r="AA19">
        <f t="shared" si="18"/>
        <v>0</v>
      </c>
      <c r="AB19">
        <f>IF(AND(F19=0,OR($A19=$AB12,$E19=$AB12)),1,0)</f>
        <v>0</v>
      </c>
      <c r="AC19">
        <f>IF(AND(F19=0,OR(AND($A19=$AB12,$B19&gt;$D19),AND($E19=$AB12,$D19&gt;$B19))),1,0)</f>
        <v>0</v>
      </c>
      <c r="AD19">
        <f t="shared" si="19"/>
        <v>0</v>
      </c>
      <c r="AE19">
        <f>IF(AND(F19=0,OR(AND($A19=$AB12,$B19&lt;$D19),AND($E19=$AB12,$D19&lt;$B19))),1,0)</f>
        <v>0</v>
      </c>
      <c r="AF19">
        <f>IF(F19&gt;0,0,IF($A19=$AB12,$B19,IF($E19=$AB12,$D19,0)))</f>
        <v>0</v>
      </c>
      <c r="AG19">
        <f>IF(F19&gt;0,0,IF($A19=$AB12,$D19,IF($E19=$AB12,$B19,0)))</f>
        <v>0</v>
      </c>
      <c r="AH19">
        <f t="shared" si="20"/>
        <v>0</v>
      </c>
    </row>
    <row r="20" spans="1:84" x14ac:dyDescent="0.2">
      <c r="G20" s="28">
        <f t="shared" ref="G20:AH20" si="25">SUM(G14:G19)</f>
        <v>3</v>
      </c>
      <c r="H20" s="28">
        <f t="shared" si="25"/>
        <v>2</v>
      </c>
      <c r="I20" s="28">
        <f t="shared" si="25"/>
        <v>0</v>
      </c>
      <c r="J20" s="28">
        <f t="shared" si="25"/>
        <v>1</v>
      </c>
      <c r="K20" s="28">
        <f t="shared" si="25"/>
        <v>6</v>
      </c>
      <c r="L20" s="28">
        <f t="shared" si="25"/>
        <v>6</v>
      </c>
      <c r="M20">
        <f t="shared" si="25"/>
        <v>4</v>
      </c>
      <c r="N20">
        <f t="shared" si="25"/>
        <v>3</v>
      </c>
      <c r="O20">
        <f t="shared" si="25"/>
        <v>0</v>
      </c>
      <c r="P20">
        <f t="shared" si="25"/>
        <v>0</v>
      </c>
      <c r="Q20">
        <f t="shared" si="25"/>
        <v>3</v>
      </c>
      <c r="R20">
        <f t="shared" si="25"/>
        <v>1</v>
      </c>
      <c r="S20">
        <f t="shared" si="25"/>
        <v>9</v>
      </c>
      <c r="T20">
        <f t="shared" si="25"/>
        <v>0</v>
      </c>
      <c r="U20">
        <f t="shared" si="25"/>
        <v>3</v>
      </c>
      <c r="V20">
        <f t="shared" si="25"/>
        <v>2</v>
      </c>
      <c r="W20">
        <f t="shared" si="25"/>
        <v>0</v>
      </c>
      <c r="X20">
        <f t="shared" si="25"/>
        <v>1</v>
      </c>
      <c r="Y20">
        <f t="shared" si="25"/>
        <v>8</v>
      </c>
      <c r="Z20">
        <f t="shared" si="25"/>
        <v>3</v>
      </c>
      <c r="AA20">
        <f t="shared" si="25"/>
        <v>4</v>
      </c>
      <c r="AB20">
        <f t="shared" si="25"/>
        <v>3</v>
      </c>
      <c r="AC20">
        <f t="shared" si="25"/>
        <v>2</v>
      </c>
      <c r="AD20">
        <f t="shared" si="25"/>
        <v>0</v>
      </c>
      <c r="AE20">
        <f t="shared" si="25"/>
        <v>1</v>
      </c>
      <c r="AF20">
        <f t="shared" si="25"/>
        <v>6</v>
      </c>
      <c r="AG20">
        <f t="shared" si="25"/>
        <v>3</v>
      </c>
      <c r="AH20">
        <f t="shared" si="25"/>
        <v>4</v>
      </c>
    </row>
    <row r="22" spans="1:84" x14ac:dyDescent="0.2">
      <c r="A22" s="463" t="str">
        <f>'1-zapasy'!A17</f>
        <v>skupina A3</v>
      </c>
      <c r="B22" s="464"/>
      <c r="C22" s="464"/>
      <c r="D22" s="464"/>
      <c r="E22" s="464"/>
      <c r="F22" s="28" t="s">
        <v>67</v>
      </c>
      <c r="G22" s="465" t="str">
        <f>A24</f>
        <v>MASOPUSTOVÁ Lucie (MSK Břeclav)</v>
      </c>
      <c r="H22" s="465"/>
      <c r="I22" s="465"/>
      <c r="J22" s="465"/>
      <c r="K22" s="465"/>
      <c r="L22" s="465"/>
      <c r="M22" s="465"/>
      <c r="N22" s="465" t="str">
        <f>E24</f>
        <v>VINCENEC Oliver (KST Vyškov)</v>
      </c>
      <c r="O22" s="465"/>
      <c r="P22" s="465"/>
      <c r="Q22" s="465"/>
      <c r="R22" s="465"/>
      <c r="S22" s="465"/>
      <c r="T22" s="465"/>
      <c r="U22" s="465" t="str">
        <f>A25</f>
        <v>KREJČÍ David (TTC MS Brno)</v>
      </c>
      <c r="V22" s="465"/>
      <c r="W22" s="465"/>
      <c r="X22" s="465"/>
      <c r="Y22" s="465"/>
      <c r="Z22" s="465"/>
      <c r="AA22" s="465"/>
      <c r="AB22" s="465" t="str">
        <f>E25</f>
        <v>ŠTĚRBÁK Lukáš (SKST Hodonín)</v>
      </c>
      <c r="AC22" s="465"/>
      <c r="AD22" s="465"/>
      <c r="AE22" s="465"/>
      <c r="AF22" s="465"/>
      <c r="AG22" s="465"/>
      <c r="AH22" s="465"/>
      <c r="AJ22" s="465" t="s">
        <v>68</v>
      </c>
      <c r="AK22" s="465"/>
      <c r="AL22" s="465"/>
      <c r="AM22" s="465"/>
      <c r="AN22" s="465"/>
      <c r="AO22" s="465"/>
      <c r="AP22" s="465"/>
      <c r="AQ22" s="465"/>
      <c r="BX22" s="28" t="s">
        <v>69</v>
      </c>
    </row>
    <row r="23" spans="1:84" x14ac:dyDescent="0.2">
      <c r="A23" s="464"/>
      <c r="B23" s="464"/>
      <c r="C23" s="464"/>
      <c r="D23" s="464"/>
      <c r="E23" s="464"/>
      <c r="F23" s="28" t="s">
        <v>70</v>
      </c>
      <c r="G23" s="28" t="s">
        <v>71</v>
      </c>
      <c r="H23" s="28" t="s">
        <v>72</v>
      </c>
      <c r="I23" s="28" t="s">
        <v>73</v>
      </c>
      <c r="J23" s="28" t="s">
        <v>74</v>
      </c>
      <c r="K23" s="28" t="s">
        <v>75</v>
      </c>
      <c r="L23" s="28" t="s">
        <v>76</v>
      </c>
      <c r="M23" s="28" t="s">
        <v>77</v>
      </c>
      <c r="N23" s="28" t="s">
        <v>71</v>
      </c>
      <c r="O23" s="28" t="s">
        <v>72</v>
      </c>
      <c r="P23" s="28" t="s">
        <v>73</v>
      </c>
      <c r="Q23" s="28" t="s">
        <v>74</v>
      </c>
      <c r="R23" s="28" t="s">
        <v>75</v>
      </c>
      <c r="S23" s="28" t="s">
        <v>76</v>
      </c>
      <c r="T23" s="28" t="s">
        <v>77</v>
      </c>
      <c r="U23" s="28" t="s">
        <v>71</v>
      </c>
      <c r="V23" s="28" t="s">
        <v>72</v>
      </c>
      <c r="W23" s="28" t="s">
        <v>73</v>
      </c>
      <c r="X23" s="28" t="s">
        <v>74</v>
      </c>
      <c r="Y23" s="28" t="s">
        <v>75</v>
      </c>
      <c r="Z23" s="28" t="s">
        <v>76</v>
      </c>
      <c r="AA23" s="28" t="s">
        <v>77</v>
      </c>
      <c r="AB23" s="28" t="s">
        <v>71</v>
      </c>
      <c r="AC23" s="28" t="s">
        <v>72</v>
      </c>
      <c r="AD23" s="28" t="s">
        <v>73</v>
      </c>
      <c r="AE23" s="28" t="s">
        <v>74</v>
      </c>
      <c r="AF23" s="28" t="s">
        <v>75</v>
      </c>
      <c r="AG23" s="28" t="s">
        <v>76</v>
      </c>
      <c r="AH23" s="28" t="s">
        <v>77</v>
      </c>
      <c r="AK23" s="28" t="s">
        <v>71</v>
      </c>
      <c r="AL23" s="28" t="s">
        <v>72</v>
      </c>
      <c r="AM23" s="28" t="s">
        <v>73</v>
      </c>
      <c r="AN23" s="28" t="s">
        <v>74</v>
      </c>
      <c r="AO23" s="28" t="s">
        <v>75</v>
      </c>
      <c r="AP23" s="28" t="s">
        <v>76</v>
      </c>
      <c r="AQ23" s="28" t="s">
        <v>77</v>
      </c>
      <c r="AS23" s="28" t="s">
        <v>78</v>
      </c>
      <c r="AU23" s="28" t="s">
        <v>79</v>
      </c>
      <c r="AW23" s="28" t="s">
        <v>80</v>
      </c>
      <c r="AY23" s="28" t="s">
        <v>81</v>
      </c>
      <c r="BB23" s="28" t="s">
        <v>82</v>
      </c>
      <c r="BE23" s="28" t="s">
        <v>83</v>
      </c>
      <c r="BH23" s="28" t="s">
        <v>84</v>
      </c>
      <c r="BK23" s="28" t="s">
        <v>85</v>
      </c>
      <c r="BL23" s="28" t="s">
        <v>86</v>
      </c>
      <c r="BP23" s="28" t="s">
        <v>87</v>
      </c>
      <c r="BT23" s="28" t="s">
        <v>88</v>
      </c>
      <c r="BY23" s="28" t="s">
        <v>65</v>
      </c>
      <c r="BZ23" s="28" t="s">
        <v>89</v>
      </c>
      <c r="CA23" s="28" t="s">
        <v>58</v>
      </c>
      <c r="CB23" s="28" t="s">
        <v>90</v>
      </c>
      <c r="CC23" s="28" t="s">
        <v>51</v>
      </c>
      <c r="CD23" s="28" t="s">
        <v>53</v>
      </c>
      <c r="CE23" s="28" t="s">
        <v>91</v>
      </c>
    </row>
    <row r="24" spans="1:84" x14ac:dyDescent="0.2">
      <c r="A24" s="27" t="str">
        <f>'1-zapasy'!B19</f>
        <v>MASOPUSTOVÁ Lucie (MSK Břeclav)</v>
      </c>
      <c r="B24" s="220">
        <f>'1-zapasy'!I19</f>
        <v>3</v>
      </c>
      <c r="C24" s="220" t="e">
        <f>'3-zapasy'!#REF!</f>
        <v>#REF!</v>
      </c>
      <c r="D24" s="220">
        <f>'1-zapasy'!J19</f>
        <v>2</v>
      </c>
      <c r="E24" s="27" t="str">
        <f>'1-zapasy'!C19</f>
        <v>VINCENEC Oliver (KST Vyškov)</v>
      </c>
      <c r="F24" s="28">
        <f>COUNTBLANK('1-zapasy'!I19:'1-zapasy'!J19)</f>
        <v>0</v>
      </c>
      <c r="G24" s="28">
        <f>IF(AND(F24=0,OR($A24=$G22,$E24=$G22)),1,0)</f>
        <v>1</v>
      </c>
      <c r="H24" s="28">
        <f>IF(AND(F24=0,OR(AND($A24=$G22,$B24&gt;$D24),AND($E24=$G22,$D24&gt;$B24))),1,0)</f>
        <v>1</v>
      </c>
      <c r="I24" s="28">
        <f t="shared" ref="I24:I29" si="26">IF(AND(F24=0,G24=1,$B24=$D24),1,0)</f>
        <v>0</v>
      </c>
      <c r="J24" s="28">
        <f>IF(AND(F24=0,OR(AND($A24=$G22,$B24&lt;$D24),AND($E24=$G22,$D24&lt;$B24))),1,0)</f>
        <v>0</v>
      </c>
      <c r="K24" s="28">
        <f>IF(F24&gt;0,0,IF($A24=$G22,$B24,IF($E24=$G22,$D24,0)))</f>
        <v>3</v>
      </c>
      <c r="L24" s="28">
        <f>IF(F24&gt;0,0,IF($A24=$G22,$D24,IF($E24=$G22,$B24,0)))</f>
        <v>2</v>
      </c>
      <c r="M24">
        <f t="shared" ref="M24:M29" si="27">(($H24*$B$10)+$I24)</f>
        <v>2</v>
      </c>
      <c r="N24">
        <f>IF(AND(F24=0,OR($A24=$N22,$E24=$N22)),1,0)</f>
        <v>1</v>
      </c>
      <c r="O24">
        <f>IF(AND(F24=0,OR(AND($A24=$N22,$B24&gt;$D24),AND($E24=$N22,$D24&gt;$B24))),1,0)</f>
        <v>0</v>
      </c>
      <c r="P24">
        <f t="shared" ref="P24:P29" si="28">IF(AND(F24=0,N24=1,$B24=$D24),1,0)</f>
        <v>0</v>
      </c>
      <c r="Q24">
        <f>IF(AND(F24=0,OR(AND($A24=$N22,$B24&lt;$D24),AND($E24=$N22,$D24&lt;$B24))),1,0)</f>
        <v>1</v>
      </c>
      <c r="R24">
        <f>IF(F24&gt;0,0,IF($A24=$N22,$B24,IF($E24=$N22,$D24,0)))</f>
        <v>2</v>
      </c>
      <c r="S24">
        <f>IF(F24&gt;0,0,IF($A24=$N22,$D24,IF($E24=$N22,$B24,0)))</f>
        <v>3</v>
      </c>
      <c r="T24">
        <f t="shared" ref="T24:T29" si="29">(($O24*$B$10)+$P24)</f>
        <v>0</v>
      </c>
      <c r="U24">
        <f>IF(AND(F24=0,OR($A24=$U22,$E24=$U22)),1,0)</f>
        <v>0</v>
      </c>
      <c r="V24">
        <f>IF(AND(F24=0,OR(AND($A24=$U22,$B24&gt;$D24),AND($E24=$U22,$D24&gt;$B24))),1,0)</f>
        <v>0</v>
      </c>
      <c r="W24">
        <f t="shared" ref="W24:W29" si="30">IF(AND(F24=0,U24=1,$B24=$D24),1,0)</f>
        <v>0</v>
      </c>
      <c r="X24">
        <f>IF(AND(F24=0,OR(AND($A24=$U22,$B24&lt;$D24),AND($E24=$U22,$D24&lt;$B24))),1,0)</f>
        <v>0</v>
      </c>
      <c r="Y24">
        <f>IF(F24&gt;0,0,IF($A24=$U22,$B24,IF($E24=$U22,$D24,0)))</f>
        <v>0</v>
      </c>
      <c r="Z24">
        <f>IF(F24&gt;0,0,IF($A24=$U22,$D24,IF($E24=$U22,$B24,0)))</f>
        <v>0</v>
      </c>
      <c r="AA24">
        <f t="shared" ref="AA24:AA29" si="31">(($V24*$B$10)+$W24)</f>
        <v>0</v>
      </c>
      <c r="AB24">
        <f>IF(AND(F24=0,OR($A24=$AB22,$E24=$AB22)),1,0)</f>
        <v>0</v>
      </c>
      <c r="AC24">
        <f>IF(AND(F24=0,OR(AND($A24=$AB22,$B24&gt;$D24),AND($E24=$AB22,$D24&gt;$B24))),1,0)</f>
        <v>0</v>
      </c>
      <c r="AD24">
        <f t="shared" ref="AD24:AD29" si="32">IF(AND(F24=0,AB24=1,$B24=$D24),1,0)</f>
        <v>0</v>
      </c>
      <c r="AE24">
        <f>IF(AND(F24=0,OR(AND($A24=$AB22,$B24&lt;$D24),AND($E24=$AB22,$D24&lt;$B24))),1,0)</f>
        <v>0</v>
      </c>
      <c r="AF24">
        <f>IF(F24&gt;0,0,IF($A24=$AB22,$B24,IF($E24=$AB22,$D24,0)))</f>
        <v>0</v>
      </c>
      <c r="AG24">
        <f>IF(F24&gt;0,0,IF($A24=$AB22,$D24,IF($E24=$AB22,$B24,0)))</f>
        <v>0</v>
      </c>
      <c r="AH24">
        <f t="shared" ref="AH24:AH29" si="33">(($AC24*$B$10)+$AD24)</f>
        <v>0</v>
      </c>
      <c r="AJ24" s="28" t="str">
        <f>G22</f>
        <v>MASOPUSTOVÁ Lucie (MSK Břeclav)</v>
      </c>
      <c r="AK24" s="28">
        <f t="shared" ref="AK24:AQ24" si="34">G30</f>
        <v>3</v>
      </c>
      <c r="AL24" s="28">
        <f t="shared" si="34"/>
        <v>3</v>
      </c>
      <c r="AM24" s="28">
        <f t="shared" si="34"/>
        <v>0</v>
      </c>
      <c r="AN24" s="28">
        <f t="shared" si="34"/>
        <v>0</v>
      </c>
      <c r="AO24" s="28">
        <f t="shared" si="34"/>
        <v>9</v>
      </c>
      <c r="AP24" s="28">
        <f t="shared" si="34"/>
        <v>3</v>
      </c>
      <c r="AQ24" s="28">
        <f t="shared" si="34"/>
        <v>6</v>
      </c>
      <c r="AS24" s="28" t="str">
        <f>IF($AQ24&gt;=$AQ25,$AJ24,$AJ25)</f>
        <v>MASOPUSTOVÁ Lucie (MSK Břeclav)</v>
      </c>
      <c r="AT24" s="28">
        <f>VLOOKUP(AS24,$AJ24:$AQ27,8,FALSE)</f>
        <v>6</v>
      </c>
      <c r="AU24" s="28" t="str">
        <f>IF($AT24&gt;=$AT26,$AS24,$AS26)</f>
        <v>MASOPUSTOVÁ Lucie (MSK Břeclav)</v>
      </c>
      <c r="AV24" s="28">
        <f>VLOOKUP(AU24,$AS24:$AT27,2,FALSE)</f>
        <v>6</v>
      </c>
      <c r="AW24" s="28" t="str">
        <f>IF($AV24&gt;=$AV27,$AU24,$AU27)</f>
        <v>MASOPUSTOVÁ Lucie (MSK Břeclav)</v>
      </c>
      <c r="AX24" s="28">
        <f>VLOOKUP(AW24,$AU24:$AV27,2,FALSE)</f>
        <v>6</v>
      </c>
      <c r="AY24" s="28">
        <f>VLOOKUP(AW24,$AJ24:$AQ27,6,FALSE)</f>
        <v>9</v>
      </c>
      <c r="AZ24" s="28">
        <f>VLOOKUP(AW24,$AJ24:$AQ27,7,FALSE)</f>
        <v>3</v>
      </c>
      <c r="BA24" s="28">
        <f>AY24-AZ24</f>
        <v>6</v>
      </c>
      <c r="BB24" s="28" t="str">
        <f>IF(AND($AX24=$AX25,$BA25&gt;$BA24),$AW25,$AW24)</f>
        <v>MASOPUSTOVÁ Lucie (MSK Břeclav)</v>
      </c>
      <c r="BC24" s="28">
        <f>VLOOKUP(BB24,$AW24:$BA27,2,FALSE)</f>
        <v>6</v>
      </c>
      <c r="BD24" s="28">
        <f>VLOOKUP(BB24,$AW24:$BA27,5,FALSE)</f>
        <v>6</v>
      </c>
      <c r="BE24" s="28" t="str">
        <f>IF(AND($BC24=$BC26,$BD26&gt;$BD24),$BB26,$BB24)</f>
        <v>MASOPUSTOVÁ Lucie (MSK Břeclav)</v>
      </c>
      <c r="BF24" s="28">
        <f>VLOOKUP(BE24,$BB24:$BD27,2,FALSE)</f>
        <v>6</v>
      </c>
      <c r="BG24" s="28">
        <f>VLOOKUP(BE24,$BB24:$BD27,3,FALSE)</f>
        <v>6</v>
      </c>
      <c r="BH24" s="28" t="str">
        <f>IF(AND($BF24=$BF27,$BG27&gt;$BG24),$BE27,$BE24)</f>
        <v>MASOPUSTOVÁ Lucie (MSK Břeclav)</v>
      </c>
      <c r="BI24" s="28">
        <f>VLOOKUP(BH24,$BE24:$BG27,2,FALSE)</f>
        <v>6</v>
      </c>
      <c r="BJ24" s="28">
        <f>VLOOKUP(BH24,$BE24:$BG27,3,FALSE)</f>
        <v>6</v>
      </c>
      <c r="BK24" s="28">
        <f>VLOOKUP(BH24,$AJ24:$AQ27,6,FALSE)</f>
        <v>9</v>
      </c>
      <c r="BL24" s="28" t="str">
        <f>IF(AND($BI24=$BI25,$BJ24=$BJ25,$BK25&gt;$BK24),$BH25,$BH24)</f>
        <v>MASOPUSTOVÁ Lucie (MSK Břeclav)</v>
      </c>
      <c r="BM24" s="28">
        <f>VLOOKUP(BL24,$BH24:$BK27,2,FALSE)</f>
        <v>6</v>
      </c>
      <c r="BN24" s="28">
        <f>VLOOKUP(BL24,$BH24:$BK27,3,FALSE)</f>
        <v>6</v>
      </c>
      <c r="BO24" s="28">
        <f>VLOOKUP(BL24,$BH24:$BK27,4,FALSE)</f>
        <v>9</v>
      </c>
      <c r="BP24" s="28" t="str">
        <f>IF(AND($BM24=$BM26,$BN24=$BN26,$BO26&gt;$BO24),$BL26,$BL24)</f>
        <v>MASOPUSTOVÁ Lucie (MSK Břeclav)</v>
      </c>
      <c r="BQ24" s="28">
        <f>VLOOKUP(BP24,$BL24:$BO27,2,FALSE)</f>
        <v>6</v>
      </c>
      <c r="BR24" s="28">
        <f>VLOOKUP(BP24,$BL24:$BO27,3,FALSE)</f>
        <v>6</v>
      </c>
      <c r="BS24" s="28">
        <f>VLOOKUP(BP24,$BL24:$BO27,4,FALSE)</f>
        <v>9</v>
      </c>
      <c r="BT24" s="28" t="str">
        <f>IF(AND($BQ24=$BQ27,$BR24=$BR27,$BS27&gt;$BS24),$BP27,$BP24)</f>
        <v>MASOPUSTOVÁ Lucie (MSK Břeclav)</v>
      </c>
      <c r="BU24" s="28">
        <f>VLOOKUP(BT24,$BP24:$BS27,2,FALSE)</f>
        <v>6</v>
      </c>
      <c r="BV24" s="28">
        <f>VLOOKUP(BT24,$BP24:$BS27,3,FALSE)</f>
        <v>6</v>
      </c>
      <c r="BW24" s="28">
        <f>VLOOKUP(BT24,$BP24:$BS27,4,FALSE)</f>
        <v>9</v>
      </c>
      <c r="BX24" s="28" t="str">
        <f>BT24</f>
        <v>MASOPUSTOVÁ Lucie (MSK Břeclav)</v>
      </c>
      <c r="BY24" s="28">
        <f>VLOOKUP($BX24,$AJ24:$AQ27,2,FALSE)</f>
        <v>3</v>
      </c>
      <c r="BZ24" s="28">
        <f>VLOOKUP($BX24,$AJ24:$AQ27,3,FALSE)</f>
        <v>3</v>
      </c>
      <c r="CA24" s="28">
        <f>VLOOKUP($BX24,$AJ24:$AQ27,4,FALSE)</f>
        <v>0</v>
      </c>
      <c r="CB24" s="28">
        <f>VLOOKUP($BX24,$AJ24:$AQ27,5,FALSE)</f>
        <v>0</v>
      </c>
      <c r="CC24" s="28">
        <f>VLOOKUP($BX24,$AJ24:$AQ27,6,FALSE)</f>
        <v>9</v>
      </c>
      <c r="CD24" s="28">
        <f>VLOOKUP($BX24,$AJ24:$AQ27,7,FALSE)</f>
        <v>3</v>
      </c>
      <c r="CE24" s="28">
        <f>VLOOKUP($BX24,$AJ24:$AQ27,8,FALSE)</f>
        <v>6</v>
      </c>
      <c r="CF24" s="128" t="str">
        <f>CONCATENATE(CC24,":",CD24)</f>
        <v>9:3</v>
      </c>
    </row>
    <row r="25" spans="1:84" x14ac:dyDescent="0.2">
      <c r="A25" s="27" t="str">
        <f>'1-zapasy'!B20</f>
        <v>KREJČÍ David (TTC MS Brno)</v>
      </c>
      <c r="B25" s="220">
        <f>'1-zapasy'!I20</f>
        <v>3</v>
      </c>
      <c r="C25" s="220" t="e">
        <f>'3-zapasy'!#REF!</f>
        <v>#REF!</v>
      </c>
      <c r="D25" s="220">
        <f>'1-zapasy'!J20</f>
        <v>0</v>
      </c>
      <c r="E25" s="27" t="str">
        <f>'1-zapasy'!C20</f>
        <v>ŠTĚRBÁK Lukáš (SKST Hodonín)</v>
      </c>
      <c r="F25" s="28">
        <f>COUNTBLANK('1-zapasy'!I20:'1-zapasy'!J20)</f>
        <v>0</v>
      </c>
      <c r="G25" s="28">
        <f>IF(AND(F25=0,OR($A25=$G22,$E25=$G22)),1,0)</f>
        <v>0</v>
      </c>
      <c r="H25" s="28">
        <f>IF(AND(F25=0,OR(AND($A25=$G22,$B25&gt;$D25),AND($E25=$G22,$D25&gt;$B25))),1,0)</f>
        <v>0</v>
      </c>
      <c r="I25" s="28">
        <f t="shared" si="26"/>
        <v>0</v>
      </c>
      <c r="J25" s="28">
        <f>IF(AND(F25=0,OR(AND($A25=$G22,$B25&lt;$D25),AND($E25=$G22,$D25&lt;$B25))),1,0)</f>
        <v>0</v>
      </c>
      <c r="K25" s="28">
        <f>IF(F25&gt;0,0,IF($A25=$G22,$B25,IF($E25=$G22,$D25,0)))</f>
        <v>0</v>
      </c>
      <c r="L25" s="28">
        <f>IF(F25&gt;0,0,IF($A25=$G22,$D25,IF($E25=$G22,$B25,0)))</f>
        <v>0</v>
      </c>
      <c r="M25">
        <f t="shared" si="27"/>
        <v>0</v>
      </c>
      <c r="N25">
        <f>IF(AND(F25=0,OR($A25=$N22,$E25=$N22)),1,0)</f>
        <v>0</v>
      </c>
      <c r="O25">
        <f>IF(AND(F25=0,OR(AND($A25=$N22,$B25&gt;$D25),AND($E25=$N22,$D25&gt;$B25))),1,0)</f>
        <v>0</v>
      </c>
      <c r="P25">
        <f t="shared" si="28"/>
        <v>0</v>
      </c>
      <c r="Q25">
        <f>IF(AND(F25=0,OR(AND($A25=$N22,$B25&lt;$D25),AND($E25=$N22,$D25&lt;$B25))),1,0)</f>
        <v>0</v>
      </c>
      <c r="R25">
        <f>IF(F25&gt;0,0,IF($A25=$N22,$B25,IF($E25=$N22,$D25,0)))</f>
        <v>0</v>
      </c>
      <c r="S25">
        <f>IF(F25&gt;0,0,IF($A25=$N22,$D25,IF($E25=$N22,$B25,0)))</f>
        <v>0</v>
      </c>
      <c r="T25">
        <f t="shared" si="29"/>
        <v>0</v>
      </c>
      <c r="U25">
        <f>IF(AND(F25=0,OR($A25=$U22,$E25=$U22)),1,0)</f>
        <v>1</v>
      </c>
      <c r="V25">
        <f>IF(AND(F25=0,OR(AND($A25=$U22,$B25&gt;$D25),AND($E25=$U22,$D25&gt;$B25))),1,0)</f>
        <v>1</v>
      </c>
      <c r="W25">
        <f t="shared" si="30"/>
        <v>0</v>
      </c>
      <c r="X25">
        <f>IF(AND(F25=0,OR(AND($A25=$U22,$B25&lt;$D25),AND($E25=$U22,$D25&lt;$B25))),1,0)</f>
        <v>0</v>
      </c>
      <c r="Y25">
        <f>IF(F25&gt;0,0,IF($A25=$U22,$B25,IF($E25=$U22,$D25,0)))</f>
        <v>3</v>
      </c>
      <c r="Z25">
        <f>IF(F25&gt;0,0,IF($A25=$U22,$D25,IF($E25=$U22,$B25,0)))</f>
        <v>0</v>
      </c>
      <c r="AA25">
        <f t="shared" si="31"/>
        <v>2</v>
      </c>
      <c r="AB25">
        <f>IF(AND(F25=0,OR($A25=$AB22,$E25=$AB22)),1,0)</f>
        <v>1</v>
      </c>
      <c r="AC25">
        <f>IF(AND(F25=0,OR(AND($A25=$AB22,$B25&gt;$D25),AND($E25=$AB22,$D25&gt;$B25))),1,0)</f>
        <v>0</v>
      </c>
      <c r="AD25">
        <f t="shared" si="32"/>
        <v>0</v>
      </c>
      <c r="AE25">
        <f>IF(AND(F25=0,OR(AND($A25=$AB22,$B25&lt;$D25),AND($E25=$AB22,$D25&lt;$B25))),1,0)</f>
        <v>1</v>
      </c>
      <c r="AF25">
        <f>IF(F25&gt;0,0,IF($A25=$AB22,$B25,IF($E25=$AB22,$D25,0)))</f>
        <v>0</v>
      </c>
      <c r="AG25">
        <f>IF(F25&gt;0,0,IF($A25=$AB22,$D25,IF($E25=$AB22,$B25,0)))</f>
        <v>3</v>
      </c>
      <c r="AH25">
        <f t="shared" si="33"/>
        <v>0</v>
      </c>
      <c r="AJ25" s="28" t="str">
        <f>N22</f>
        <v>VINCENEC Oliver (KST Vyškov)</v>
      </c>
      <c r="AK25" s="28">
        <f t="shared" ref="AK25:AQ25" si="35">N30</f>
        <v>3</v>
      </c>
      <c r="AL25" s="28">
        <f t="shared" si="35"/>
        <v>2</v>
      </c>
      <c r="AM25" s="28">
        <f t="shared" si="35"/>
        <v>0</v>
      </c>
      <c r="AN25" s="28">
        <f t="shared" si="35"/>
        <v>1</v>
      </c>
      <c r="AO25" s="28">
        <f t="shared" si="35"/>
        <v>8</v>
      </c>
      <c r="AP25" s="28">
        <f t="shared" si="35"/>
        <v>5</v>
      </c>
      <c r="AQ25" s="28">
        <f t="shared" si="35"/>
        <v>4</v>
      </c>
      <c r="AS25" s="28" t="str">
        <f>IF($AQ25&lt;=$AQ24,$AJ25,$AJ24)</f>
        <v>VINCENEC Oliver (KST Vyškov)</v>
      </c>
      <c r="AT25" s="28">
        <f>VLOOKUP(AS25,$AJ24:$AQ27,8,FALSE)</f>
        <v>4</v>
      </c>
      <c r="AU25" s="28" t="str">
        <f>IF($AT25&gt;=$AT27,$AS25,$AS27)</f>
        <v>VINCENEC Oliver (KST Vyškov)</v>
      </c>
      <c r="AV25" s="28">
        <f>VLOOKUP(AU25,$AS24:$AT27,2,FALSE)</f>
        <v>4</v>
      </c>
      <c r="AW25" s="28" t="str">
        <f>IF($AV25&gt;=$AV26,$AU25,$AU26)</f>
        <v>VINCENEC Oliver (KST Vyškov)</v>
      </c>
      <c r="AX25" s="28">
        <f>VLOOKUP(AW25,$AU24:$AV27,2,FALSE)</f>
        <v>4</v>
      </c>
      <c r="AY25" s="28">
        <f>VLOOKUP(AW25,$AJ24:$AQ27,6,FALSE)</f>
        <v>8</v>
      </c>
      <c r="AZ25" s="28">
        <f>VLOOKUP(AW25,$AJ24:$AQ27,7,FALSE)</f>
        <v>5</v>
      </c>
      <c r="BA25" s="28">
        <f>AY25-AZ25</f>
        <v>3</v>
      </c>
      <c r="BB25" s="28" t="str">
        <f>IF(AND($AX24=$AX25,$BA25&gt;$BA24),$AW24,$AW25)</f>
        <v>VINCENEC Oliver (KST Vyškov)</v>
      </c>
      <c r="BC25" s="28">
        <f>VLOOKUP(BB25,$AW24:$BA27,2,FALSE)</f>
        <v>4</v>
      </c>
      <c r="BD25" s="28">
        <f>VLOOKUP(BB25,$AW24:$BA27,5,FALSE)</f>
        <v>3</v>
      </c>
      <c r="BE25" s="28" t="str">
        <f>IF(AND($BC25=$BC27,$BD27&gt;$BD25),$BB27,$BB25)</f>
        <v>VINCENEC Oliver (KST Vyškov)</v>
      </c>
      <c r="BF25" s="28">
        <f>VLOOKUP(BE25,$BB24:$BD27,2,FALSE)</f>
        <v>4</v>
      </c>
      <c r="BG25" s="28">
        <f>VLOOKUP(BE25,$BB24:$BD27,3,FALSE)</f>
        <v>3</v>
      </c>
      <c r="BH25" s="28" t="str">
        <f>IF(AND($BF25=$BF26,$BG26&gt;$BG25),$BE26,$BE25)</f>
        <v>VINCENEC Oliver (KST Vyškov)</v>
      </c>
      <c r="BI25" s="28">
        <f>VLOOKUP(BH25,$BE24:$BG27,2,FALSE)</f>
        <v>4</v>
      </c>
      <c r="BJ25" s="28">
        <f>VLOOKUP(BH25,$BE24:$BG27,3,FALSE)</f>
        <v>3</v>
      </c>
      <c r="BK25" s="28">
        <f>VLOOKUP(BH25,$AJ24:$AQ27,6,FALSE)</f>
        <v>8</v>
      </c>
      <c r="BL25" s="28" t="str">
        <f>IF(AND($BI24=$BI25,$BJ24=$BJ25,$BK25&gt;$BK24),$BH24,$BH25)</f>
        <v>VINCENEC Oliver (KST Vyškov)</v>
      </c>
      <c r="BM25" s="28">
        <f>VLOOKUP(BL25,$BH24:$BK27,2,FALSE)</f>
        <v>4</v>
      </c>
      <c r="BN25" s="28">
        <f>VLOOKUP(BL25,$BH24:$BK27,3,FALSE)</f>
        <v>3</v>
      </c>
      <c r="BO25" s="28">
        <f>VLOOKUP(BL25,$BH24:$BK27,4,FALSE)</f>
        <v>8</v>
      </c>
      <c r="BP25" s="28" t="str">
        <f>IF(AND($BM25=$BM27,$BN25=$BN27,$BO27&gt;$BO25),$BL27,$BL25)</f>
        <v>VINCENEC Oliver (KST Vyškov)</v>
      </c>
      <c r="BQ25" s="28">
        <f>VLOOKUP(BP25,$BL24:$BO27,2,FALSE)</f>
        <v>4</v>
      </c>
      <c r="BR25" s="28">
        <f>VLOOKUP(BP25,$BL24:$BO27,3,FALSE)</f>
        <v>3</v>
      </c>
      <c r="BS25" s="28">
        <f>VLOOKUP(BP25,$BL24:$BO27,4,FALSE)</f>
        <v>8</v>
      </c>
      <c r="BT25" s="28" t="str">
        <f>IF(AND($BQ25=$BQ26,$BR25=$BR26,$BS26&gt;$BS25),$BP26,$BP25)</f>
        <v>VINCENEC Oliver (KST Vyškov)</v>
      </c>
      <c r="BU25" s="28">
        <f>VLOOKUP(BT25,$BP24:$BS27,2,FALSE)</f>
        <v>4</v>
      </c>
      <c r="BV25" s="28">
        <f>VLOOKUP(BT25,$BP24:$BS27,3,FALSE)</f>
        <v>3</v>
      </c>
      <c r="BW25" s="28">
        <f>VLOOKUP(BT25,$BP24:$BS27,4,FALSE)</f>
        <v>8</v>
      </c>
      <c r="BX25" s="28" t="str">
        <f>BT25</f>
        <v>VINCENEC Oliver (KST Vyškov)</v>
      </c>
      <c r="BY25" s="28">
        <f>VLOOKUP($BX25,$AJ24:$AQ27,2,FALSE)</f>
        <v>3</v>
      </c>
      <c r="BZ25" s="28">
        <f>VLOOKUP($BX25,$AJ24:$AQ27,3,FALSE)</f>
        <v>2</v>
      </c>
      <c r="CA25" s="28">
        <f>VLOOKUP($BX25,$AJ24:$AQ27,4,FALSE)</f>
        <v>0</v>
      </c>
      <c r="CB25" s="28">
        <f>VLOOKUP($BX25,$AJ24:$AQ27,5,FALSE)</f>
        <v>1</v>
      </c>
      <c r="CC25" s="28">
        <f>VLOOKUP($BX25,$AJ24:$AQ27,6,FALSE)</f>
        <v>8</v>
      </c>
      <c r="CD25" s="28">
        <f>VLOOKUP($BX25,$AJ24:$AQ27,7,FALSE)</f>
        <v>5</v>
      </c>
      <c r="CE25" s="28">
        <f>VLOOKUP($BX25,$AJ24:$AQ27,8,FALSE)</f>
        <v>4</v>
      </c>
      <c r="CF25" s="128" t="str">
        <f>CONCATENATE(CC25,":",CD25)</f>
        <v>8:5</v>
      </c>
    </row>
    <row r="26" spans="1:84" x14ac:dyDescent="0.2">
      <c r="A26" s="27" t="str">
        <f>'1-zapasy'!B21</f>
        <v>VINCENEC Oliver (KST Vyškov)</v>
      </c>
      <c r="B26" s="220">
        <f>'1-zapasy'!I21</f>
        <v>3</v>
      </c>
      <c r="C26" s="220" t="e">
        <f>'3-zapasy'!#REF!</f>
        <v>#REF!</v>
      </c>
      <c r="D26" s="220">
        <f>'1-zapasy'!J21</f>
        <v>2</v>
      </c>
      <c r="E26" s="27" t="str">
        <f>'1-zapasy'!C21</f>
        <v>KREJČÍ David (TTC MS Brno)</v>
      </c>
      <c r="F26" s="28">
        <f>COUNTBLANK('1-zapasy'!I21:'1-zapasy'!J21)</f>
        <v>0</v>
      </c>
      <c r="G26" s="28">
        <f>IF(AND(F26=0,OR($A26=$G22,$E26=$G22)),1,0)</f>
        <v>0</v>
      </c>
      <c r="H26" s="28">
        <f>IF(AND(F26=0,OR(AND($A26=$G22,$B26&gt;$D26),AND($E26=$G22,$D26&gt;$B26))),1,0)</f>
        <v>0</v>
      </c>
      <c r="I26" s="28">
        <f t="shared" si="26"/>
        <v>0</v>
      </c>
      <c r="J26" s="28">
        <f>IF(AND(F26=0,OR(AND($A26=$G22,$B26&lt;$D26),AND($E26=$G22,$D26&lt;$B26))),1,0)</f>
        <v>0</v>
      </c>
      <c r="K26" s="28">
        <f>IF(F26&gt;0,0,IF($A26=$G22,$B26,IF($E26=$G22,$D26,0)))</f>
        <v>0</v>
      </c>
      <c r="L26" s="28">
        <f>IF(F26&gt;0,0,IF($A26=$G22,$D26,IF($E26=$G22,$B26,0)))</f>
        <v>0</v>
      </c>
      <c r="M26">
        <f t="shared" si="27"/>
        <v>0</v>
      </c>
      <c r="N26">
        <f>IF(AND(F26=0,OR($A26=$N22,$E26=$N22)),1,0)</f>
        <v>1</v>
      </c>
      <c r="O26">
        <f>IF(AND(F26=0,OR(AND($A26=$N22,$B26&gt;$D26),AND($E26=$N22,$D26&gt;$B26))),1,0)</f>
        <v>1</v>
      </c>
      <c r="P26">
        <f t="shared" si="28"/>
        <v>0</v>
      </c>
      <c r="Q26">
        <f>IF(AND(F26=0,OR(AND($A26=$N22,$B26&lt;$D26),AND($E26=$N22,$D26&lt;$B26))),1,0)</f>
        <v>0</v>
      </c>
      <c r="R26">
        <f>IF(F26&gt;0,0,IF($A26=$N22,$B26,IF($E26=$N22,$D26,0)))</f>
        <v>3</v>
      </c>
      <c r="S26">
        <f>IF(F26&gt;0,0,IF($A26=$N22,$D26,IF($E26=$N22,$B26,0)))</f>
        <v>2</v>
      </c>
      <c r="T26">
        <f t="shared" si="29"/>
        <v>2</v>
      </c>
      <c r="U26">
        <f>IF(AND(F26=0,OR($A26=$U22,$E26=$U22)),1,0)</f>
        <v>1</v>
      </c>
      <c r="V26">
        <f>IF(AND(F26=0,OR(AND($A26=$U22,$B26&gt;$D26),AND($E26=$U22,$D26&gt;$B26))),1,0)</f>
        <v>0</v>
      </c>
      <c r="W26">
        <f t="shared" si="30"/>
        <v>0</v>
      </c>
      <c r="X26">
        <f>IF(AND(F26=0,OR(AND($A26=$U22,$B26&lt;$D26),AND($E26=$U22,$D26&lt;$B26))),1,0)</f>
        <v>1</v>
      </c>
      <c r="Y26">
        <f>IF(F26&gt;0,0,IF($A26=$U22,$B26,IF($E26=$U22,$D26,0)))</f>
        <v>2</v>
      </c>
      <c r="Z26">
        <f>IF(F26&gt;0,0,IF($A26=$U22,$D26,IF($E26=$U22,$B26,0)))</f>
        <v>3</v>
      </c>
      <c r="AA26">
        <f t="shared" si="31"/>
        <v>0</v>
      </c>
      <c r="AB26">
        <f>IF(AND(F26=0,OR($A26=$AB22,$E26=$AB22)),1,0)</f>
        <v>0</v>
      </c>
      <c r="AC26">
        <f>IF(AND(F26=0,OR(AND($A26=$AB22,$B26&gt;$D26),AND($E26=$AB22,$D26&gt;$B26))),1,0)</f>
        <v>0</v>
      </c>
      <c r="AD26">
        <f t="shared" si="32"/>
        <v>0</v>
      </c>
      <c r="AE26">
        <f>IF(AND(F26=0,OR(AND($A26=$AB22,$B26&lt;$D26),AND($E26=$AB22,$D26&lt;$B26))),1,0)</f>
        <v>0</v>
      </c>
      <c r="AF26">
        <f>IF(F26&gt;0,0,IF($A26=$AB22,$B26,IF($E26=$AB22,$D26,0)))</f>
        <v>0</v>
      </c>
      <c r="AG26">
        <f>IF(F26&gt;0,0,IF($A26=$AB22,$D26,IF($E26=$AB22,$B26,0)))</f>
        <v>0</v>
      </c>
      <c r="AH26">
        <f t="shared" si="33"/>
        <v>0</v>
      </c>
      <c r="AJ26" s="28" t="str">
        <f>U22</f>
        <v>KREJČÍ David (TTC MS Brno)</v>
      </c>
      <c r="AK26" s="28">
        <f t="shared" ref="AK26:AQ26" si="36">U30</f>
        <v>3</v>
      </c>
      <c r="AL26" s="28">
        <f t="shared" si="36"/>
        <v>1</v>
      </c>
      <c r="AM26" s="28">
        <f t="shared" si="36"/>
        <v>0</v>
      </c>
      <c r="AN26" s="28">
        <f t="shared" si="36"/>
        <v>2</v>
      </c>
      <c r="AO26" s="28">
        <f t="shared" si="36"/>
        <v>6</v>
      </c>
      <c r="AP26" s="28">
        <f t="shared" si="36"/>
        <v>6</v>
      </c>
      <c r="AQ26" s="28">
        <f t="shared" si="36"/>
        <v>2</v>
      </c>
      <c r="AS26" s="28" t="str">
        <f>IF($AQ26&gt;=$AQ27,$AJ26,$AJ27)</f>
        <v>KREJČÍ David (TTC MS Brno)</v>
      </c>
      <c r="AT26" s="28">
        <f>VLOOKUP(AS26,$AJ24:$AQ27,8,FALSE)</f>
        <v>2</v>
      </c>
      <c r="AU26" s="28" t="str">
        <f>IF($AT26&lt;=$AT24,$AS26,$AS24)</f>
        <v>KREJČÍ David (TTC MS Brno)</v>
      </c>
      <c r="AV26" s="28">
        <f>VLOOKUP(AU26,$AS24:$AT27,2,FALSE)</f>
        <v>2</v>
      </c>
      <c r="AW26" s="28" t="str">
        <f>IF($AV26&lt;=$AV25,$AU26,$AU25)</f>
        <v>KREJČÍ David (TTC MS Brno)</v>
      </c>
      <c r="AX26" s="28">
        <f>VLOOKUP(AW26,$AU24:$AV27,2,FALSE)</f>
        <v>2</v>
      </c>
      <c r="AY26" s="28">
        <f>VLOOKUP(AW26,$AJ24:$AQ27,6,FALSE)</f>
        <v>6</v>
      </c>
      <c r="AZ26" s="28">
        <f>VLOOKUP(AW26,$AJ24:$AQ27,7,FALSE)</f>
        <v>6</v>
      </c>
      <c r="BA26" s="28">
        <f>AY26-AZ26</f>
        <v>0</v>
      </c>
      <c r="BB26" s="28" t="str">
        <f>IF(AND($AX26=$AX27,$BA27&gt;$BA26),$AW27,$AW26)</f>
        <v>KREJČÍ David (TTC MS Brno)</v>
      </c>
      <c r="BC26" s="28">
        <f>VLOOKUP(BB26,$AW24:$BA27,2,FALSE)</f>
        <v>2</v>
      </c>
      <c r="BD26" s="28">
        <f>VLOOKUP(BB26,$AW24:$BA27,5,FALSE)</f>
        <v>0</v>
      </c>
      <c r="BE26" s="28" t="str">
        <f>IF(AND($BC24=$BC26,$BD26&gt;$BD24),$BB24,$BB26)</f>
        <v>KREJČÍ David (TTC MS Brno)</v>
      </c>
      <c r="BF26" s="28">
        <f>VLOOKUP(BE26,$BB24:$BD27,2,FALSE)</f>
        <v>2</v>
      </c>
      <c r="BG26" s="28">
        <f>VLOOKUP(BE26,$BB24:$BD27,3,FALSE)</f>
        <v>0</v>
      </c>
      <c r="BH26" s="28" t="str">
        <f>IF(AND($BF25=$BF26,$BG26&gt;$BG25),$BE25,$BE26)</f>
        <v>KREJČÍ David (TTC MS Brno)</v>
      </c>
      <c r="BI26" s="28">
        <f>VLOOKUP(BH26,$BE24:$BG27,2,FALSE)</f>
        <v>2</v>
      </c>
      <c r="BJ26" s="28">
        <f>VLOOKUP(BH26,$BE24:$BG27,3,FALSE)</f>
        <v>0</v>
      </c>
      <c r="BK26" s="28">
        <f>VLOOKUP(BH26,$AJ24:$AQ27,6,FALSE)</f>
        <v>6</v>
      </c>
      <c r="BL26" s="28" t="str">
        <f>IF(AND($BI26=$BI27,$BJ26=$BJ27,$BK27&gt;$BK26),$BH27,$BH26)</f>
        <v>KREJČÍ David (TTC MS Brno)</v>
      </c>
      <c r="BM26" s="28">
        <f>VLOOKUP(BL26,$BH24:$BK27,2,FALSE)</f>
        <v>2</v>
      </c>
      <c r="BN26" s="28">
        <f>VLOOKUP(BL26,$BH24:$BK27,3,FALSE)</f>
        <v>0</v>
      </c>
      <c r="BO26" s="28">
        <f>VLOOKUP(BL26,$BH24:$BK27,4,FALSE)</f>
        <v>6</v>
      </c>
      <c r="BP26" s="28" t="str">
        <f>IF(AND($BM24=$BM26,$BN24=$BN26,$BO26&gt;$BO24),$BL24,$BL26)</f>
        <v>KREJČÍ David (TTC MS Brno)</v>
      </c>
      <c r="BQ26" s="28">
        <f>VLOOKUP(BP26,$BL24:$BO27,2,FALSE)</f>
        <v>2</v>
      </c>
      <c r="BR26" s="28">
        <f>VLOOKUP(BP26,$BL24:$BO27,3,FALSE)</f>
        <v>0</v>
      </c>
      <c r="BS26" s="28">
        <f>VLOOKUP(BP26,$BL24:$BO27,4,FALSE)</f>
        <v>6</v>
      </c>
      <c r="BT26" s="28" t="str">
        <f>IF(AND($BQ25=$BQ26,$BR25=$BR26,$BS26&gt;$BS25),$BP25,$BP26)</f>
        <v>KREJČÍ David (TTC MS Brno)</v>
      </c>
      <c r="BU26" s="28">
        <f>VLOOKUP(BT26,$BP24:$BS27,2,FALSE)</f>
        <v>2</v>
      </c>
      <c r="BV26" s="28">
        <f>VLOOKUP(BT26,$BP24:$BS27,3,FALSE)</f>
        <v>0</v>
      </c>
      <c r="BW26" s="28">
        <f>VLOOKUP(BT26,$BP24:$BS27,4,FALSE)</f>
        <v>6</v>
      </c>
      <c r="BX26" s="28" t="str">
        <f>BT26</f>
        <v>KREJČÍ David (TTC MS Brno)</v>
      </c>
      <c r="BY26" s="28">
        <f>VLOOKUP($BX26,$AJ24:$AQ27,2,FALSE)</f>
        <v>3</v>
      </c>
      <c r="BZ26" s="28">
        <f>VLOOKUP($BX26,$AJ24:$AQ27,3,FALSE)</f>
        <v>1</v>
      </c>
      <c r="CA26" s="28">
        <f>VLOOKUP($BX26,$AJ24:$AQ27,4,FALSE)</f>
        <v>0</v>
      </c>
      <c r="CB26" s="28">
        <f>VLOOKUP($BX26,$AJ24:$AQ27,5,FALSE)</f>
        <v>2</v>
      </c>
      <c r="CC26" s="28">
        <f>VLOOKUP($BX26,$AJ24:$AQ27,6,FALSE)</f>
        <v>6</v>
      </c>
      <c r="CD26" s="28">
        <f>VLOOKUP($BX26,$AJ24:$AQ27,7,FALSE)</f>
        <v>6</v>
      </c>
      <c r="CE26" s="28">
        <f>VLOOKUP($BX26,$AJ24:$AQ27,8,FALSE)</f>
        <v>2</v>
      </c>
      <c r="CF26" s="128" t="str">
        <f>CONCATENATE(CC26,":",CD26)</f>
        <v>6:6</v>
      </c>
    </row>
    <row r="27" spans="1:84" x14ac:dyDescent="0.2">
      <c r="A27" s="27" t="str">
        <f>'1-zapasy'!B22</f>
        <v>ŠTĚRBÁK Lukáš (SKST Hodonín)</v>
      </c>
      <c r="B27" s="220">
        <f>'1-zapasy'!I22</f>
        <v>0</v>
      </c>
      <c r="C27" s="220" t="e">
        <f>'3-zapasy'!#REF!</f>
        <v>#REF!</v>
      </c>
      <c r="D27" s="220">
        <f>'1-zapasy'!J22</f>
        <v>3</v>
      </c>
      <c r="E27" s="27" t="str">
        <f>'1-zapasy'!C22</f>
        <v>MASOPUSTOVÁ Lucie (MSK Břeclav)</v>
      </c>
      <c r="F27" s="28">
        <f>COUNTBLANK('1-zapasy'!I22:'1-zapasy'!J22)</f>
        <v>0</v>
      </c>
      <c r="G27" s="28">
        <f>IF(AND(F27=0,OR($A27=$G22,$E27=$G22)),1,0)</f>
        <v>1</v>
      </c>
      <c r="H27" s="28">
        <f>IF(AND(F27=0,OR(AND($A27=$G22,$B27&gt;$D27),AND($E27=$G22,$D27&gt;$B27))),1,0)</f>
        <v>1</v>
      </c>
      <c r="I27" s="28">
        <f t="shared" si="26"/>
        <v>0</v>
      </c>
      <c r="J27" s="28">
        <f>IF(AND(F27=0,OR(AND($A27=$G22,$B27&lt;$D27),AND($E27=$G22,$D27&lt;$B27))),1,0)</f>
        <v>0</v>
      </c>
      <c r="K27" s="28">
        <f>IF(F27&gt;0,0,IF($A27=$G22,$B27,IF($E27=$G22,$D27,0)))</f>
        <v>3</v>
      </c>
      <c r="L27" s="28">
        <f>IF(F27&gt;0,0,IF($A27=$G22,$D27,IF($E27=$G22,$B27,0)))</f>
        <v>0</v>
      </c>
      <c r="M27">
        <f t="shared" si="27"/>
        <v>2</v>
      </c>
      <c r="N27">
        <f>IF(AND(F27=0,OR($A27=$N22,$E27=$N22)),1,0)</f>
        <v>0</v>
      </c>
      <c r="O27">
        <f>IF(AND(F27=0,OR(AND($A27=$N22,$B27&gt;$D27),AND($E27=$N22,$D27&gt;$B27))),1,0)</f>
        <v>0</v>
      </c>
      <c r="P27">
        <f t="shared" si="28"/>
        <v>0</v>
      </c>
      <c r="Q27">
        <f>IF(AND(F27=0,OR(AND($A27=$N22,$B27&lt;$D27),AND($E27=$N22,$D27&lt;$B27))),1,0)</f>
        <v>0</v>
      </c>
      <c r="R27">
        <f>IF(F27&gt;0,0,IF($A27=$N22,$B27,IF($E27=$N22,$D27,0)))</f>
        <v>0</v>
      </c>
      <c r="S27">
        <f>IF(F27&gt;0,0,IF($A27=$N22,$D27,IF($E27=$N22,$B27,0)))</f>
        <v>0</v>
      </c>
      <c r="T27">
        <f t="shared" si="29"/>
        <v>0</v>
      </c>
      <c r="U27">
        <f>IF(AND(F27=0,OR($A27=$U22,$E27=$U22)),1,0)</f>
        <v>0</v>
      </c>
      <c r="V27">
        <f>IF(AND(F27=0,OR(AND($A27=$U22,$B27&gt;$D27),AND($E27=$U22,$D27&gt;$B27))),1,0)</f>
        <v>0</v>
      </c>
      <c r="W27">
        <f t="shared" si="30"/>
        <v>0</v>
      </c>
      <c r="X27">
        <f>IF(AND(F27=0,OR(AND($A27=$U22,$B27&lt;$D27),AND($E27=$U22,$D27&lt;$B27))),1,0)</f>
        <v>0</v>
      </c>
      <c r="Y27">
        <f>IF(F27&gt;0,0,IF($A27=$U22,$B27,IF($E27=$U22,$D27,0)))</f>
        <v>0</v>
      </c>
      <c r="Z27">
        <f>IF(F27&gt;0,0,IF($A27=$U22,$D27,IF($E27=$U22,$B27,0)))</f>
        <v>0</v>
      </c>
      <c r="AA27">
        <f t="shared" si="31"/>
        <v>0</v>
      </c>
      <c r="AB27">
        <f>IF(AND(F27=0,OR($A27=$AB22,$E27=$AB22)),1,0)</f>
        <v>1</v>
      </c>
      <c r="AC27">
        <f>IF(AND(F27=0,OR(AND($A27=$AB22,$B27&gt;$D27),AND($E27=$AB22,$D27&gt;$B27))),1,0)</f>
        <v>0</v>
      </c>
      <c r="AD27">
        <f t="shared" si="32"/>
        <v>0</v>
      </c>
      <c r="AE27">
        <f>IF(AND(F27=0,OR(AND($A27=$AB22,$B27&lt;$D27),AND($E27=$AB22,$D27&lt;$B27))),1,0)</f>
        <v>1</v>
      </c>
      <c r="AF27">
        <f>IF(F27&gt;0,0,IF($A27=$AB22,$B27,IF($E27=$AB22,$D27,0)))</f>
        <v>0</v>
      </c>
      <c r="AG27">
        <f>IF(F27&gt;0,0,IF($A27=$AB22,$D27,IF($E27=$AB22,$B27,0)))</f>
        <v>3</v>
      </c>
      <c r="AH27">
        <f t="shared" si="33"/>
        <v>0</v>
      </c>
      <c r="AJ27" s="28" t="str">
        <f>AB22</f>
        <v>ŠTĚRBÁK Lukáš (SKST Hodonín)</v>
      </c>
      <c r="AK27" s="28">
        <f t="shared" ref="AK27:AQ27" si="37">AB30</f>
        <v>3</v>
      </c>
      <c r="AL27" s="28">
        <f t="shared" si="37"/>
        <v>0</v>
      </c>
      <c r="AM27" s="28">
        <f t="shared" si="37"/>
        <v>0</v>
      </c>
      <c r="AN27" s="28">
        <f t="shared" si="37"/>
        <v>3</v>
      </c>
      <c r="AO27" s="28">
        <f t="shared" si="37"/>
        <v>0</v>
      </c>
      <c r="AP27" s="28">
        <f t="shared" si="37"/>
        <v>9</v>
      </c>
      <c r="AQ27" s="28">
        <f t="shared" si="37"/>
        <v>0</v>
      </c>
      <c r="AS27" s="28" t="str">
        <f>IF($AQ27&lt;=$AQ26,$AJ27,$AJ26)</f>
        <v>ŠTĚRBÁK Lukáš (SKST Hodonín)</v>
      </c>
      <c r="AT27" s="28">
        <f>VLOOKUP(AS27,$AJ24:$AQ27,8,FALSE)</f>
        <v>0</v>
      </c>
      <c r="AU27" s="28" t="str">
        <f>IF($AT27&lt;=$AT25,$AS27,$AS25)</f>
        <v>ŠTĚRBÁK Lukáš (SKST Hodonín)</v>
      </c>
      <c r="AV27" s="28">
        <f>VLOOKUP(AU27,$AS24:$AT27,2,FALSE)</f>
        <v>0</v>
      </c>
      <c r="AW27" s="28" t="str">
        <f>IF($AV27&lt;=$AV24,$AU27,$AU24)</f>
        <v>ŠTĚRBÁK Lukáš (SKST Hodonín)</v>
      </c>
      <c r="AX27" s="28">
        <f>VLOOKUP(AW27,$AU24:$AV27,2,FALSE)</f>
        <v>0</v>
      </c>
      <c r="AY27" s="28">
        <f>VLOOKUP(AW27,$AJ24:$AQ27,6,FALSE)</f>
        <v>0</v>
      </c>
      <c r="AZ27" s="28">
        <f>VLOOKUP(AW27,$AJ24:$AQ27,7,FALSE)</f>
        <v>9</v>
      </c>
      <c r="BA27" s="28">
        <f>AY27-AZ27</f>
        <v>-9</v>
      </c>
      <c r="BB27" s="28" t="str">
        <f>IF(AND($AX26=$AX27,$BA27&gt;$BA26),$AW26,$AW27)</f>
        <v>ŠTĚRBÁK Lukáš (SKST Hodonín)</v>
      </c>
      <c r="BC27" s="28">
        <f>VLOOKUP(BB27,$AW24:$BA27,2,FALSE)</f>
        <v>0</v>
      </c>
      <c r="BD27" s="28">
        <f>VLOOKUP(BB27,$AW24:$BA27,5,FALSE)</f>
        <v>-9</v>
      </c>
      <c r="BE27" s="28" t="str">
        <f>IF(AND($BC25=$BC27,$BD27&gt;$BD25),$BB25,$BB27)</f>
        <v>ŠTĚRBÁK Lukáš (SKST Hodonín)</v>
      </c>
      <c r="BF27" s="28">
        <f>VLOOKUP(BE27,$BB24:$BD27,2,FALSE)</f>
        <v>0</v>
      </c>
      <c r="BG27" s="28">
        <f>VLOOKUP(BE27,$BB24:$BD27,3,FALSE)</f>
        <v>-9</v>
      </c>
      <c r="BH27" s="28" t="str">
        <f>IF(AND($BF24=$BF27,$BG27&gt;$BG24),$BE24,$BE27)</f>
        <v>ŠTĚRBÁK Lukáš (SKST Hodonín)</v>
      </c>
      <c r="BI27" s="28">
        <f>VLOOKUP(BH27,$BE24:$BG27,2,FALSE)</f>
        <v>0</v>
      </c>
      <c r="BJ27" s="28">
        <f>VLOOKUP(BH27,$BE24:$BG27,3,FALSE)</f>
        <v>-9</v>
      </c>
      <c r="BK27" s="28">
        <f>VLOOKUP(BH27,$AJ24:$AQ27,6,FALSE)</f>
        <v>0</v>
      </c>
      <c r="BL27" s="28" t="str">
        <f>IF(AND($BI26=$BI27,$BJ26=$BJ27,$BK27&gt;$BK26),$BH26,$BH27)</f>
        <v>ŠTĚRBÁK Lukáš (SKST Hodonín)</v>
      </c>
      <c r="BM27" s="28">
        <f>VLOOKUP(BL27,$BH24:$BK27,2,FALSE)</f>
        <v>0</v>
      </c>
      <c r="BN27" s="28">
        <f>VLOOKUP(BL27,$BH24:$BK27,3,FALSE)</f>
        <v>-9</v>
      </c>
      <c r="BO27" s="28">
        <f>VLOOKUP(BL27,$BH24:$BK27,4,FALSE)</f>
        <v>0</v>
      </c>
      <c r="BP27" s="28" t="str">
        <f>IF(AND($BM25=$BM27,$BN25=$BN27,$BO27&gt;$BO25),$BL25,$BL27)</f>
        <v>ŠTĚRBÁK Lukáš (SKST Hodonín)</v>
      </c>
      <c r="BQ27" s="28">
        <f>VLOOKUP(BP27,$BL24:$BO27,2,FALSE)</f>
        <v>0</v>
      </c>
      <c r="BR27" s="28">
        <f>VLOOKUP(BP27,$BL24:$BO27,3,FALSE)</f>
        <v>-9</v>
      </c>
      <c r="BS27" s="28">
        <f>VLOOKUP(BP27,$BL24:$BO27,4,FALSE)</f>
        <v>0</v>
      </c>
      <c r="BT27" s="28" t="str">
        <f>IF(AND($BQ24=$BQ27,$BR24=$BR27,$BS27&gt;$BS24),$BP24,$BP27)</f>
        <v>ŠTĚRBÁK Lukáš (SKST Hodonín)</v>
      </c>
      <c r="BU27" s="28">
        <f>VLOOKUP(BT27,$BP24:$BS27,2,FALSE)</f>
        <v>0</v>
      </c>
      <c r="BV27" s="28">
        <f>VLOOKUP(BT27,$BP24:$BS27,3,FALSE)</f>
        <v>-9</v>
      </c>
      <c r="BW27" s="28">
        <f>VLOOKUP(BT27,$BP24:$BS27,4,FALSE)</f>
        <v>0</v>
      </c>
      <c r="BX27" s="28" t="str">
        <f>BT27</f>
        <v>ŠTĚRBÁK Lukáš (SKST Hodonín)</v>
      </c>
      <c r="BY27" s="28">
        <f>VLOOKUP($BX27,$AJ24:$AQ27,2,FALSE)</f>
        <v>3</v>
      </c>
      <c r="BZ27" s="28">
        <f>VLOOKUP($BX27,$AJ24:$AQ27,3,FALSE)</f>
        <v>0</v>
      </c>
      <c r="CA27" s="28">
        <f>VLOOKUP($BX27,$AJ24:$AQ27,4,FALSE)</f>
        <v>0</v>
      </c>
      <c r="CB27" s="28">
        <f>VLOOKUP($BX27,$AJ24:$AQ27,5,FALSE)</f>
        <v>3</v>
      </c>
      <c r="CC27" s="28">
        <f>VLOOKUP($BX27,$AJ24:$AQ27,6,FALSE)</f>
        <v>0</v>
      </c>
      <c r="CD27" s="28">
        <f>VLOOKUP($BX27,$AJ24:$AQ27,7,FALSE)</f>
        <v>9</v>
      </c>
      <c r="CE27" s="28">
        <f>VLOOKUP($BX27,$AJ24:$AQ27,8,FALSE)</f>
        <v>0</v>
      </c>
      <c r="CF27" s="128" t="str">
        <f>CONCATENATE(CC27,":",CD27)</f>
        <v>0:9</v>
      </c>
    </row>
    <row r="28" spans="1:84" x14ac:dyDescent="0.2">
      <c r="A28" s="27" t="str">
        <f>'1-zapasy'!B23</f>
        <v>ŠTĚRBÁK Lukáš (SKST Hodonín)</v>
      </c>
      <c r="B28" s="220">
        <f>'1-zapasy'!I23</f>
        <v>0</v>
      </c>
      <c r="C28" s="220" t="e">
        <f>'3-zapasy'!#REF!</f>
        <v>#REF!</v>
      </c>
      <c r="D28" s="220">
        <f>'1-zapasy'!J23</f>
        <v>3</v>
      </c>
      <c r="E28" s="27" t="str">
        <f>'1-zapasy'!C23</f>
        <v>VINCENEC Oliver (KST Vyškov)</v>
      </c>
      <c r="F28" s="28">
        <f>COUNTBLANK('1-zapasy'!I23:'1-zapasy'!J23)</f>
        <v>0</v>
      </c>
      <c r="G28" s="28">
        <f>IF(AND(F28=0,OR($A28=$G22,$E28=$G22)),1,0)</f>
        <v>0</v>
      </c>
      <c r="H28" s="28">
        <f>IF(AND(F28=0,OR(AND($A28=$G22,$B28&gt;$D28),AND($E28=$G22,$D28&gt;$B28))),1,0)</f>
        <v>0</v>
      </c>
      <c r="I28" s="28">
        <f t="shared" si="26"/>
        <v>0</v>
      </c>
      <c r="J28" s="28">
        <f>IF(AND(F28=0,OR(AND($A28=$G22,$B28&lt;$D28),AND($E28=$G22,$D28&lt;$B28))),1,0)</f>
        <v>0</v>
      </c>
      <c r="K28" s="28">
        <f>IF(F28&gt;0,0,IF($A28=$G22,$B28,IF($E28=$G22,$D28,0)))</f>
        <v>0</v>
      </c>
      <c r="L28" s="28">
        <f>IF(F28&gt;0,0,IF($A28=$G22,$D28,IF($E28=$G22,$B28,0)))</f>
        <v>0</v>
      </c>
      <c r="M28">
        <f t="shared" si="27"/>
        <v>0</v>
      </c>
      <c r="N28">
        <f>IF(AND(F28=0,OR($A28=$N22,$E28=$N22)),1,0)</f>
        <v>1</v>
      </c>
      <c r="O28">
        <f>IF(AND(F28=0,OR(AND($A28=$N22,$B28&gt;$D28),AND($E28=$N22,$D28&gt;$B28))),1,0)</f>
        <v>1</v>
      </c>
      <c r="P28">
        <f t="shared" si="28"/>
        <v>0</v>
      </c>
      <c r="Q28">
        <f>IF(AND(F28=0,OR(AND($A28=$N22,$B28&lt;$D28),AND($E28=$N22,$D28&lt;$B28))),1,0)</f>
        <v>0</v>
      </c>
      <c r="R28">
        <f>IF(F28&gt;0,0,IF($A28=$N22,$B28,IF($E28=$N22,$D28,0)))</f>
        <v>3</v>
      </c>
      <c r="S28">
        <f>IF(F28&gt;0,0,IF($A28=$N22,$D28,IF($E28=$N22,$B28,0)))</f>
        <v>0</v>
      </c>
      <c r="T28">
        <f t="shared" si="29"/>
        <v>2</v>
      </c>
      <c r="U28">
        <f>IF(AND(F28=0,OR($A28=$U22,$E28=$U22)),1,0)</f>
        <v>0</v>
      </c>
      <c r="V28">
        <f>IF(AND(F28=0,OR(AND($A28=$U22,$B28&gt;$D28),AND($E28=$U22,$D28&gt;$B28))),1,0)</f>
        <v>0</v>
      </c>
      <c r="W28">
        <f t="shared" si="30"/>
        <v>0</v>
      </c>
      <c r="X28">
        <f>IF(AND(F28=0,OR(AND($A28=$U22,$B28&lt;$D28),AND($E28=$U22,$D28&lt;$B28))),1,0)</f>
        <v>0</v>
      </c>
      <c r="Y28">
        <f>IF(F28&gt;0,0,IF($A28=$U22,$B28,IF($E28=$U22,$D28,0)))</f>
        <v>0</v>
      </c>
      <c r="Z28">
        <f>IF(F28&gt;0,0,IF($A28=$U22,$D28,IF($E28=$U22,$B28,0)))</f>
        <v>0</v>
      </c>
      <c r="AA28">
        <f t="shared" si="31"/>
        <v>0</v>
      </c>
      <c r="AB28">
        <f>IF(AND(F28=0,OR($A28=$AB22,$E28=$AB22)),1,0)</f>
        <v>1</v>
      </c>
      <c r="AC28">
        <f>IF(AND(F28=0,OR(AND($A28=$AB22,$B28&gt;$D28),AND($E28=$AB22,$D28&gt;$B28))),1,0)</f>
        <v>0</v>
      </c>
      <c r="AD28">
        <f t="shared" si="32"/>
        <v>0</v>
      </c>
      <c r="AE28">
        <f>IF(AND(F28=0,OR(AND($A28=$AB22,$B28&lt;$D28),AND($E28=$AB22,$D28&lt;$B28))),1,0)</f>
        <v>1</v>
      </c>
      <c r="AF28">
        <f>IF(F28&gt;0,0,IF($A28=$AB22,$B28,IF($E28=$AB22,$D28,0)))</f>
        <v>0</v>
      </c>
      <c r="AG28">
        <f>IF(F28&gt;0,0,IF($A28=$AB22,$D28,IF($E28=$AB22,$B28,0)))</f>
        <v>3</v>
      </c>
      <c r="AH28">
        <f t="shared" si="33"/>
        <v>0</v>
      </c>
    </row>
    <row r="29" spans="1:84" x14ac:dyDescent="0.2">
      <c r="A29" s="27" t="str">
        <f>'1-zapasy'!B24</f>
        <v>MASOPUSTOVÁ Lucie (MSK Břeclav)</v>
      </c>
      <c r="B29" s="220">
        <f>'1-zapasy'!I24</f>
        <v>3</v>
      </c>
      <c r="C29" s="220" t="e">
        <f>'3-zapasy'!#REF!</f>
        <v>#REF!</v>
      </c>
      <c r="D29" s="220">
        <f>'1-zapasy'!J24</f>
        <v>1</v>
      </c>
      <c r="E29" s="27" t="str">
        <f>'1-zapasy'!C24</f>
        <v>KREJČÍ David (TTC MS Brno)</v>
      </c>
      <c r="F29" s="28">
        <f>COUNTBLANK('1-zapasy'!I24:'1-zapasy'!J24)</f>
        <v>0</v>
      </c>
      <c r="G29" s="28">
        <f>IF(AND(F29=0,OR($A29=$G22,$E29=$G22)),1,0)</f>
        <v>1</v>
      </c>
      <c r="H29" s="28">
        <f>IF(AND(F29=0,OR(AND($A29=$G22,$B29&gt;$D29),AND($E29=$G22,$D29&gt;$B29))),1,0)</f>
        <v>1</v>
      </c>
      <c r="I29" s="28">
        <f t="shared" si="26"/>
        <v>0</v>
      </c>
      <c r="J29" s="28">
        <f>IF(AND(F29=0,OR(AND($A29=$G22,$B29&lt;$D29),AND($E29=$G22,$D29&lt;$B29))),1,0)</f>
        <v>0</v>
      </c>
      <c r="K29" s="28">
        <f>IF(F29&gt;0,0,IF($A29=$G22,$B29,IF($E29=$G22,$D29,0)))</f>
        <v>3</v>
      </c>
      <c r="L29" s="28">
        <f>IF(F29&gt;0,0,IF($A29=$G22,$D29,IF($E29=$G22,$B29,0)))</f>
        <v>1</v>
      </c>
      <c r="M29">
        <f t="shared" si="27"/>
        <v>2</v>
      </c>
      <c r="N29">
        <f>IF(AND(F29=0,OR($A29=$N22,$E29=$N22)),1,0)</f>
        <v>0</v>
      </c>
      <c r="O29">
        <f>IF(AND(F29=0,OR(AND($A29=$N22,$B29&gt;$D29),AND($E29=$N22,$D29&gt;$B29))),1,0)</f>
        <v>0</v>
      </c>
      <c r="P29">
        <f t="shared" si="28"/>
        <v>0</v>
      </c>
      <c r="Q29">
        <f>IF(AND(F29=0,OR(AND($A29=$N22,$B29&lt;$D29),AND($E29=$N22,$D29&lt;$B29))),1,0)</f>
        <v>0</v>
      </c>
      <c r="R29">
        <f>IF(F29&gt;0,0,IF($A29=$N22,$B29,IF($E29=$N22,$D29,0)))</f>
        <v>0</v>
      </c>
      <c r="S29">
        <f>IF(F29&gt;0,0,IF($A29=$N22,$D29,IF($E29=$N22,$B29,0)))</f>
        <v>0</v>
      </c>
      <c r="T29">
        <f t="shared" si="29"/>
        <v>0</v>
      </c>
      <c r="U29">
        <f>IF(AND(F29=0,OR($A29=$U22,$E29=$U22)),1,0)</f>
        <v>1</v>
      </c>
      <c r="V29">
        <f>IF(AND(F29=0,OR(AND($A29=$U22,$B29&gt;$D29),AND($E29=$U22,$D29&gt;$B29))),1,0)</f>
        <v>0</v>
      </c>
      <c r="W29">
        <f t="shared" si="30"/>
        <v>0</v>
      </c>
      <c r="X29">
        <f>IF(AND(F29=0,OR(AND($A29=$U22,$B29&lt;$D29),AND($E29=$U22,$D29&lt;$B29))),1,0)</f>
        <v>1</v>
      </c>
      <c r="Y29">
        <f>IF(F29&gt;0,0,IF($A29=$U22,$B29,IF($E29=$U22,$D29,0)))</f>
        <v>1</v>
      </c>
      <c r="Z29">
        <f>IF(F29&gt;0,0,IF($A29=$U22,$D29,IF($E29=$U22,$B29,0)))</f>
        <v>3</v>
      </c>
      <c r="AA29">
        <f t="shared" si="31"/>
        <v>0</v>
      </c>
      <c r="AB29">
        <f>IF(AND(F29=0,OR($A29=$AB22,$E29=$AB22)),1,0)</f>
        <v>0</v>
      </c>
      <c r="AC29">
        <f>IF(AND(F29=0,OR(AND($A29=$AB22,$B29&gt;$D29),AND($E29=$AB22,$D29&gt;$B29))),1,0)</f>
        <v>0</v>
      </c>
      <c r="AD29">
        <f t="shared" si="32"/>
        <v>0</v>
      </c>
      <c r="AE29">
        <f>IF(AND(F29=0,OR(AND($A29=$AB22,$B29&lt;$D29),AND($E29=$AB22,$D29&lt;$B29))),1,0)</f>
        <v>0</v>
      </c>
      <c r="AF29">
        <f>IF(F29&gt;0,0,IF($A29=$AB22,$B29,IF($E29=$AB22,$D29,0)))</f>
        <v>0</v>
      </c>
      <c r="AG29">
        <f>IF(F29&gt;0,0,IF($A29=$AB22,$D29,IF($E29=$AB22,$B29,0)))</f>
        <v>0</v>
      </c>
      <c r="AH29">
        <f t="shared" si="33"/>
        <v>0</v>
      </c>
    </row>
    <row r="30" spans="1:84" x14ac:dyDescent="0.2">
      <c r="G30" s="28">
        <f t="shared" ref="G30:AH30" si="38">SUM(G24:G29)</f>
        <v>3</v>
      </c>
      <c r="H30" s="28">
        <f t="shared" si="38"/>
        <v>3</v>
      </c>
      <c r="I30" s="28">
        <f t="shared" si="38"/>
        <v>0</v>
      </c>
      <c r="J30" s="28">
        <f t="shared" si="38"/>
        <v>0</v>
      </c>
      <c r="K30" s="28">
        <f t="shared" si="38"/>
        <v>9</v>
      </c>
      <c r="L30" s="28">
        <f t="shared" si="38"/>
        <v>3</v>
      </c>
      <c r="M30">
        <f t="shared" si="38"/>
        <v>6</v>
      </c>
      <c r="N30">
        <f t="shared" si="38"/>
        <v>3</v>
      </c>
      <c r="O30">
        <f t="shared" si="38"/>
        <v>2</v>
      </c>
      <c r="P30">
        <f t="shared" si="38"/>
        <v>0</v>
      </c>
      <c r="Q30">
        <f t="shared" si="38"/>
        <v>1</v>
      </c>
      <c r="R30">
        <f t="shared" si="38"/>
        <v>8</v>
      </c>
      <c r="S30">
        <f t="shared" si="38"/>
        <v>5</v>
      </c>
      <c r="T30">
        <f t="shared" si="38"/>
        <v>4</v>
      </c>
      <c r="U30">
        <f t="shared" si="38"/>
        <v>3</v>
      </c>
      <c r="V30">
        <f t="shared" si="38"/>
        <v>1</v>
      </c>
      <c r="W30">
        <f t="shared" si="38"/>
        <v>0</v>
      </c>
      <c r="X30">
        <f t="shared" si="38"/>
        <v>2</v>
      </c>
      <c r="Y30">
        <f t="shared" si="38"/>
        <v>6</v>
      </c>
      <c r="Z30">
        <f t="shared" si="38"/>
        <v>6</v>
      </c>
      <c r="AA30">
        <f t="shared" si="38"/>
        <v>2</v>
      </c>
      <c r="AB30">
        <f t="shared" si="38"/>
        <v>3</v>
      </c>
      <c r="AC30">
        <f t="shared" si="38"/>
        <v>0</v>
      </c>
      <c r="AD30">
        <f t="shared" si="38"/>
        <v>0</v>
      </c>
      <c r="AE30">
        <f t="shared" si="38"/>
        <v>3</v>
      </c>
      <c r="AF30">
        <f t="shared" si="38"/>
        <v>0</v>
      </c>
      <c r="AG30">
        <f t="shared" si="38"/>
        <v>9</v>
      </c>
      <c r="AH30">
        <f t="shared" si="38"/>
        <v>0</v>
      </c>
    </row>
    <row r="32" spans="1:84" x14ac:dyDescent="0.2">
      <c r="A32" s="463" t="str">
        <f>'1-zapasy'!A25</f>
        <v>skupina A4</v>
      </c>
      <c r="B32" s="464"/>
      <c r="C32" s="464"/>
      <c r="D32" s="464"/>
      <c r="E32" s="464"/>
      <c r="F32" s="28" t="s">
        <v>67</v>
      </c>
      <c r="G32" s="465" t="str">
        <f>A34</f>
        <v>SOBOTÍKOVÁ Monika (TTC MS Brno)</v>
      </c>
      <c r="H32" s="465"/>
      <c r="I32" s="465"/>
      <c r="J32" s="465"/>
      <c r="K32" s="465"/>
      <c r="L32" s="465"/>
      <c r="M32" s="465"/>
      <c r="N32" s="465" t="str">
        <f>E34</f>
        <v>BAHENSKÝ Tomáš (TTC Koral Tišnov)</v>
      </c>
      <c r="O32" s="465"/>
      <c r="P32" s="465"/>
      <c r="Q32" s="465"/>
      <c r="R32" s="465"/>
      <c r="S32" s="465"/>
      <c r="T32" s="465"/>
      <c r="U32" s="465" t="str">
        <f>A35</f>
        <v>LUSKA Petr (KST Vyškov)</v>
      </c>
      <c r="V32" s="465"/>
      <c r="W32" s="465"/>
      <c r="X32" s="465"/>
      <c r="Y32" s="465"/>
      <c r="Z32" s="465"/>
      <c r="AA32" s="465"/>
      <c r="AB32" s="465" t="str">
        <f>E35</f>
        <v>KOTÁSKOVÁ Kristýna (SKST Hodonín)</v>
      </c>
      <c r="AC32" s="465"/>
      <c r="AD32" s="465"/>
      <c r="AE32" s="465"/>
      <c r="AF32" s="465"/>
      <c r="AG32" s="465"/>
      <c r="AH32" s="465"/>
      <c r="AJ32" s="465" t="s">
        <v>68</v>
      </c>
      <c r="AK32" s="465"/>
      <c r="AL32" s="465"/>
      <c r="AM32" s="465"/>
      <c r="AN32" s="465"/>
      <c r="AO32" s="465"/>
      <c r="AP32" s="465"/>
      <c r="AQ32" s="465"/>
      <c r="BX32" s="28" t="s">
        <v>69</v>
      </c>
    </row>
    <row r="33" spans="1:84" x14ac:dyDescent="0.2">
      <c r="A33" s="464"/>
      <c r="B33" s="464"/>
      <c r="C33" s="464"/>
      <c r="D33" s="464"/>
      <c r="E33" s="464"/>
      <c r="F33" s="28" t="s">
        <v>70</v>
      </c>
      <c r="G33" s="28" t="s">
        <v>71</v>
      </c>
      <c r="H33" s="28" t="s">
        <v>72</v>
      </c>
      <c r="I33" s="28" t="s">
        <v>73</v>
      </c>
      <c r="J33" s="28" t="s">
        <v>74</v>
      </c>
      <c r="K33" s="28" t="s">
        <v>75</v>
      </c>
      <c r="L33" s="28" t="s">
        <v>76</v>
      </c>
      <c r="M33" s="28" t="s">
        <v>77</v>
      </c>
      <c r="N33" s="28" t="s">
        <v>71</v>
      </c>
      <c r="O33" s="28" t="s">
        <v>72</v>
      </c>
      <c r="P33" s="28" t="s">
        <v>73</v>
      </c>
      <c r="Q33" s="28" t="s">
        <v>74</v>
      </c>
      <c r="R33" s="28" t="s">
        <v>75</v>
      </c>
      <c r="S33" s="28" t="s">
        <v>76</v>
      </c>
      <c r="T33" s="28" t="s">
        <v>77</v>
      </c>
      <c r="U33" s="28" t="s">
        <v>71</v>
      </c>
      <c r="V33" s="28" t="s">
        <v>72</v>
      </c>
      <c r="W33" s="28" t="s">
        <v>73</v>
      </c>
      <c r="X33" s="28" t="s">
        <v>74</v>
      </c>
      <c r="Y33" s="28" t="s">
        <v>75</v>
      </c>
      <c r="Z33" s="28" t="s">
        <v>76</v>
      </c>
      <c r="AA33" s="28" t="s">
        <v>77</v>
      </c>
      <c r="AB33" s="28" t="s">
        <v>71</v>
      </c>
      <c r="AC33" s="28" t="s">
        <v>72</v>
      </c>
      <c r="AD33" s="28" t="s">
        <v>73</v>
      </c>
      <c r="AE33" s="28" t="s">
        <v>74</v>
      </c>
      <c r="AF33" s="28" t="s">
        <v>75</v>
      </c>
      <c r="AG33" s="28" t="s">
        <v>76</v>
      </c>
      <c r="AH33" s="28" t="s">
        <v>77</v>
      </c>
      <c r="AK33" s="28" t="s">
        <v>71</v>
      </c>
      <c r="AL33" s="28" t="s">
        <v>72</v>
      </c>
      <c r="AM33" s="28" t="s">
        <v>73</v>
      </c>
      <c r="AN33" s="28" t="s">
        <v>74</v>
      </c>
      <c r="AO33" s="28" t="s">
        <v>75</v>
      </c>
      <c r="AP33" s="28" t="s">
        <v>76</v>
      </c>
      <c r="AQ33" s="28" t="s">
        <v>77</v>
      </c>
      <c r="AS33" s="28" t="s">
        <v>78</v>
      </c>
      <c r="AU33" s="28" t="s">
        <v>79</v>
      </c>
      <c r="AW33" s="28" t="s">
        <v>80</v>
      </c>
      <c r="AY33" s="28" t="s">
        <v>81</v>
      </c>
      <c r="BB33" s="28" t="s">
        <v>82</v>
      </c>
      <c r="BE33" s="28" t="s">
        <v>83</v>
      </c>
      <c r="BH33" s="28" t="s">
        <v>84</v>
      </c>
      <c r="BK33" s="28" t="s">
        <v>85</v>
      </c>
      <c r="BL33" s="28" t="s">
        <v>86</v>
      </c>
      <c r="BP33" s="28" t="s">
        <v>87</v>
      </c>
      <c r="BT33" s="28" t="s">
        <v>88</v>
      </c>
      <c r="BY33" s="28" t="s">
        <v>65</v>
      </c>
      <c r="BZ33" s="28" t="s">
        <v>89</v>
      </c>
      <c r="CA33" s="28" t="s">
        <v>58</v>
      </c>
      <c r="CB33" s="28" t="s">
        <v>90</v>
      </c>
      <c r="CC33" s="28" t="s">
        <v>51</v>
      </c>
      <c r="CD33" s="28" t="s">
        <v>53</v>
      </c>
      <c r="CE33" s="28" t="s">
        <v>91</v>
      </c>
    </row>
    <row r="34" spans="1:84" x14ac:dyDescent="0.2">
      <c r="A34" s="27" t="str">
        <f>'1-zapasy'!B27</f>
        <v>SOBOTÍKOVÁ Monika (TTC MS Brno)</v>
      </c>
      <c r="B34" s="220">
        <f>'1-zapasy'!I27</f>
        <v>3</v>
      </c>
      <c r="C34" s="220" t="e">
        <f>'3-zapasy'!#REF!</f>
        <v>#REF!</v>
      </c>
      <c r="D34" s="220">
        <f>'1-zapasy'!J27</f>
        <v>0</v>
      </c>
      <c r="E34" s="27" t="str">
        <f>'1-zapasy'!C27</f>
        <v>BAHENSKÝ Tomáš (TTC Koral Tišnov)</v>
      </c>
      <c r="F34" s="28">
        <f>COUNTBLANK('1-zapasy'!I27:'1-zapasy'!J27)</f>
        <v>0</v>
      </c>
      <c r="G34" s="28">
        <f>IF(AND(F34=0,OR($A34=$G32,$E34=$G32)),1,0)</f>
        <v>1</v>
      </c>
      <c r="H34" s="28">
        <f>IF(AND(F34=0,OR(AND($A34=$G32,$B34&gt;$D34),AND($E34=$G32,$D34&gt;$B34))),1,0)</f>
        <v>1</v>
      </c>
      <c r="I34" s="28">
        <f t="shared" ref="I34:I39" si="39">IF(AND(F34=0,G34=1,$B34=$D34),1,0)</f>
        <v>0</v>
      </c>
      <c r="J34" s="28">
        <f>IF(AND(F34=0,OR(AND($A34=$G32,$B34&lt;$D34),AND($E34=$G32,$D34&lt;$B34))),1,0)</f>
        <v>0</v>
      </c>
      <c r="K34" s="28">
        <f>IF(F34&gt;0,0,IF($A34=$G32,$B34,IF($E34=$G32,$D34,0)))</f>
        <v>3</v>
      </c>
      <c r="L34" s="28">
        <f>IF(F34&gt;0,0,IF($A34=$G32,$D34,IF($E34=$G32,$B34,0)))</f>
        <v>0</v>
      </c>
      <c r="M34">
        <f t="shared" ref="M34:M39" si="40">(($H34*$B$10)+$I34)</f>
        <v>2</v>
      </c>
      <c r="N34">
        <f>IF(AND(F34=0,OR($A34=$N32,$E34=$N32)),1,0)</f>
        <v>1</v>
      </c>
      <c r="O34">
        <f>IF(AND(F34=0,OR(AND($A34=$N32,$B34&gt;$D34),AND($E34=$N32,$D34&gt;$B34))),1,0)</f>
        <v>0</v>
      </c>
      <c r="P34">
        <f t="shared" ref="P34:P39" si="41">IF(AND(F34=0,N34=1,$B34=$D34),1,0)</f>
        <v>0</v>
      </c>
      <c r="Q34">
        <f>IF(AND(F34=0,OR(AND($A34=$N32,$B34&lt;$D34),AND($E34=$N32,$D34&lt;$B34))),1,0)</f>
        <v>1</v>
      </c>
      <c r="R34">
        <f>IF(F34&gt;0,0,IF($A34=$N32,$B34,IF($E34=$N32,$D34,0)))</f>
        <v>0</v>
      </c>
      <c r="S34">
        <f>IF(F34&gt;0,0,IF($A34=$N32,$D34,IF($E34=$N32,$B34,0)))</f>
        <v>3</v>
      </c>
      <c r="T34">
        <f t="shared" ref="T34:T39" si="42">(($O34*$B$10)+$P34)</f>
        <v>0</v>
      </c>
      <c r="U34">
        <f>IF(AND(F34=0,OR($A34=$U32,$E34=$U32)),1,0)</f>
        <v>0</v>
      </c>
      <c r="V34">
        <f>IF(AND(F34=0,OR(AND($A34=$U32,$B34&gt;$D34),AND($E34=$U32,$D34&gt;$B34))),1,0)</f>
        <v>0</v>
      </c>
      <c r="W34">
        <f t="shared" ref="W34:W39" si="43">IF(AND(F34=0,U34=1,$B34=$D34),1,0)</f>
        <v>0</v>
      </c>
      <c r="X34">
        <f>IF(AND(F34=0,OR(AND($A34=$U32,$B34&lt;$D34),AND($E34=$U32,$D34&lt;$B34))),1,0)</f>
        <v>0</v>
      </c>
      <c r="Y34">
        <f>IF(F34&gt;0,0,IF($A34=$U32,$B34,IF($E34=$U32,$D34,0)))</f>
        <v>0</v>
      </c>
      <c r="Z34">
        <f>IF(F34&gt;0,0,IF($A34=$U32,$D34,IF($E34=$U32,$B34,0)))</f>
        <v>0</v>
      </c>
      <c r="AA34">
        <f t="shared" ref="AA34:AA39" si="44">(($V34*$B$10)+$W34)</f>
        <v>0</v>
      </c>
      <c r="AB34">
        <f>IF(AND(F34=0,OR($A34=$AB32,$E34=$AB32)),1,0)</f>
        <v>0</v>
      </c>
      <c r="AC34">
        <f>IF(AND(F34=0,OR(AND($A34=$AB32,$B34&gt;$D34),AND($E34=$AB32,$D34&gt;$B34))),1,0)</f>
        <v>0</v>
      </c>
      <c r="AD34">
        <f t="shared" ref="AD34:AD39" si="45">IF(AND(F34=0,AB34=1,$B34=$D34),1,0)</f>
        <v>0</v>
      </c>
      <c r="AE34">
        <f>IF(AND(F34=0,OR(AND($A34=$AB32,$B34&lt;$D34),AND($E34=$AB32,$D34&lt;$B34))),1,0)</f>
        <v>0</v>
      </c>
      <c r="AF34">
        <f>IF(F34&gt;0,0,IF($A34=$AB32,$B34,IF($E34=$AB32,$D34,0)))</f>
        <v>0</v>
      </c>
      <c r="AG34">
        <f>IF(F34&gt;0,0,IF($A34=$AB32,$D34,IF($E34=$AB32,$B34,0)))</f>
        <v>0</v>
      </c>
      <c r="AH34">
        <f t="shared" ref="AH34:AH39" si="46">(($AC34*$B$10)+$AD34)</f>
        <v>0</v>
      </c>
      <c r="AJ34" s="28" t="str">
        <f>G32</f>
        <v>SOBOTÍKOVÁ Monika (TTC MS Brno)</v>
      </c>
      <c r="AK34" s="28">
        <f t="shared" ref="AK34:AQ34" si="47">G40</f>
        <v>3</v>
      </c>
      <c r="AL34" s="28">
        <f t="shared" si="47"/>
        <v>2</v>
      </c>
      <c r="AM34" s="28">
        <f t="shared" si="47"/>
        <v>0</v>
      </c>
      <c r="AN34" s="28">
        <f t="shared" si="47"/>
        <v>1</v>
      </c>
      <c r="AO34" s="28">
        <f t="shared" si="47"/>
        <v>7</v>
      </c>
      <c r="AP34" s="28">
        <f t="shared" si="47"/>
        <v>3</v>
      </c>
      <c r="AQ34" s="28">
        <f t="shared" si="47"/>
        <v>4</v>
      </c>
      <c r="AS34" s="28" t="str">
        <f>IF($AQ34&gt;=$AQ35,$AJ34,$AJ35)</f>
        <v>SOBOTÍKOVÁ Monika (TTC MS Brno)</v>
      </c>
      <c r="AT34" s="28">
        <f>VLOOKUP(AS34,$AJ34:$AQ37,8,FALSE)</f>
        <v>4</v>
      </c>
      <c r="AU34" s="28" t="str">
        <f>IF($AT34&gt;=$AT36,$AS34,$AS36)</f>
        <v>LUSKA Petr (KST Vyškov)</v>
      </c>
      <c r="AV34" s="28">
        <f>VLOOKUP(AU34,$AS34:$AT37,2,FALSE)</f>
        <v>6</v>
      </c>
      <c r="AW34" s="28" t="str">
        <f>IF($AV34&gt;=$AV37,$AU34,$AU37)</f>
        <v>LUSKA Petr (KST Vyškov)</v>
      </c>
      <c r="AX34" s="28">
        <f>VLOOKUP(AW34,$AU34:$AV37,2,FALSE)</f>
        <v>6</v>
      </c>
      <c r="AY34" s="28">
        <f>VLOOKUP(AW34,$AJ34:$AQ37,6,FALSE)</f>
        <v>9</v>
      </c>
      <c r="AZ34" s="28">
        <f>VLOOKUP(AW34,$AJ34:$AQ37,7,FALSE)</f>
        <v>4</v>
      </c>
      <c r="BA34" s="28">
        <f>AY34-AZ34</f>
        <v>5</v>
      </c>
      <c r="BB34" s="28" t="str">
        <f>IF(AND($AX34=$AX35,$BA35&gt;$BA34),$AW35,$AW34)</f>
        <v>LUSKA Petr (KST Vyškov)</v>
      </c>
      <c r="BC34" s="28">
        <f>VLOOKUP(BB34,$AW34:$BA37,2,FALSE)</f>
        <v>6</v>
      </c>
      <c r="BD34" s="28">
        <f>VLOOKUP(BB34,$AW34:$BA37,5,FALSE)</f>
        <v>5</v>
      </c>
      <c r="BE34" s="28" t="str">
        <f>IF(AND($BC34=$BC36,$BD36&gt;$BD34),$BB36,$BB34)</f>
        <v>LUSKA Petr (KST Vyškov)</v>
      </c>
      <c r="BF34" s="28">
        <f>VLOOKUP(BE34,$BB34:$BD37,2,FALSE)</f>
        <v>6</v>
      </c>
      <c r="BG34" s="28">
        <f>VLOOKUP(BE34,$BB34:$BD37,3,FALSE)</f>
        <v>5</v>
      </c>
      <c r="BH34" s="28" t="str">
        <f>IF(AND($BF34=$BF37,$BG37&gt;$BG34),$BE37,$BE34)</f>
        <v>LUSKA Petr (KST Vyškov)</v>
      </c>
      <c r="BI34" s="28">
        <f>VLOOKUP(BH34,$BE34:$BG37,2,FALSE)</f>
        <v>6</v>
      </c>
      <c r="BJ34" s="28">
        <f>VLOOKUP(BH34,$BE34:$BG37,3,FALSE)</f>
        <v>5</v>
      </c>
      <c r="BK34" s="28">
        <f>VLOOKUP(BH34,$AJ34:$AQ37,6,FALSE)</f>
        <v>9</v>
      </c>
      <c r="BL34" s="28" t="str">
        <f>IF(AND($BI34=$BI35,$BJ34=$BJ35,$BK35&gt;$BK34),$BH35,$BH34)</f>
        <v>LUSKA Petr (KST Vyškov)</v>
      </c>
      <c r="BM34" s="28">
        <f>VLOOKUP(BL34,$BH34:$BK37,2,FALSE)</f>
        <v>6</v>
      </c>
      <c r="BN34" s="28">
        <f>VLOOKUP(BL34,$BH34:$BK37,3,FALSE)</f>
        <v>5</v>
      </c>
      <c r="BO34" s="28">
        <f>VLOOKUP(BL34,$BH34:$BK37,4,FALSE)</f>
        <v>9</v>
      </c>
      <c r="BP34" s="28" t="str">
        <f>IF(AND($BM34=$BM36,$BN34=$BN36,$BO36&gt;$BO34),$BL36,$BL34)</f>
        <v>LUSKA Petr (KST Vyškov)</v>
      </c>
      <c r="BQ34" s="28">
        <f>VLOOKUP(BP34,$BL34:$BO37,2,FALSE)</f>
        <v>6</v>
      </c>
      <c r="BR34" s="28">
        <f>VLOOKUP(BP34,$BL34:$BO37,3,FALSE)</f>
        <v>5</v>
      </c>
      <c r="BS34" s="28">
        <f>VLOOKUP(BP34,$BL34:$BO37,4,FALSE)</f>
        <v>9</v>
      </c>
      <c r="BT34" s="28" t="str">
        <f>IF(AND($BQ34=$BQ37,$BR34=$BR37,$BS37&gt;$BS34),$BP37,$BP34)</f>
        <v>LUSKA Petr (KST Vyškov)</v>
      </c>
      <c r="BU34" s="28">
        <f>VLOOKUP(BT34,$BP34:$BS37,2,FALSE)</f>
        <v>6</v>
      </c>
      <c r="BV34" s="28">
        <f>VLOOKUP(BT34,$BP34:$BS37,3,FALSE)</f>
        <v>5</v>
      </c>
      <c r="BW34" s="28">
        <f>VLOOKUP(BT34,$BP34:$BS37,4,FALSE)</f>
        <v>9</v>
      </c>
      <c r="BX34" s="28" t="str">
        <f>BT34</f>
        <v>LUSKA Petr (KST Vyškov)</v>
      </c>
      <c r="BY34" s="28">
        <f>VLOOKUP($BX34,$AJ34:$AQ37,2,FALSE)</f>
        <v>3</v>
      </c>
      <c r="BZ34" s="28">
        <f>VLOOKUP($BX34,$AJ34:$AQ37,3,FALSE)</f>
        <v>3</v>
      </c>
      <c r="CA34" s="28">
        <f>VLOOKUP($BX34,$AJ34:$AQ37,4,FALSE)</f>
        <v>0</v>
      </c>
      <c r="CB34" s="28">
        <f>VLOOKUP($BX34,$AJ34:$AQ37,5,FALSE)</f>
        <v>0</v>
      </c>
      <c r="CC34" s="28">
        <f>VLOOKUP($BX34,$AJ34:$AQ37,6,FALSE)</f>
        <v>9</v>
      </c>
      <c r="CD34" s="28">
        <f>VLOOKUP($BX34,$AJ34:$AQ37,7,FALSE)</f>
        <v>4</v>
      </c>
      <c r="CE34" s="28">
        <f>VLOOKUP($BX34,$AJ34:$AQ37,8,FALSE)</f>
        <v>6</v>
      </c>
      <c r="CF34" s="128" t="str">
        <f>CONCATENATE(CC34,":",CD34)</f>
        <v>9:4</v>
      </c>
    </row>
    <row r="35" spans="1:84" x14ac:dyDescent="0.2">
      <c r="A35" s="27" t="str">
        <f>'1-zapasy'!B28</f>
        <v>LUSKA Petr (KST Vyškov)</v>
      </c>
      <c r="B35" s="220">
        <f>'1-zapasy'!I28</f>
        <v>3</v>
      </c>
      <c r="C35" s="220" t="e">
        <f>'3-zapasy'!#REF!</f>
        <v>#REF!</v>
      </c>
      <c r="D35" s="220">
        <f>'1-zapasy'!J28</f>
        <v>1</v>
      </c>
      <c r="E35" s="27" t="str">
        <f>'1-zapasy'!C28</f>
        <v>KOTÁSKOVÁ Kristýna (SKST Hodonín)</v>
      </c>
      <c r="F35" s="28">
        <f>COUNTBLANK('1-zapasy'!I28:'1-zapasy'!J28)</f>
        <v>0</v>
      </c>
      <c r="G35" s="28">
        <f>IF(AND(F35=0,OR($A35=$G32,$E35=$G32)),1,0)</f>
        <v>0</v>
      </c>
      <c r="H35" s="28">
        <f>IF(AND(F35=0,OR(AND($A35=$G32,$B35&gt;$D35),AND($E35=$G32,$D35&gt;$B35))),1,0)</f>
        <v>0</v>
      </c>
      <c r="I35" s="28">
        <f t="shared" si="39"/>
        <v>0</v>
      </c>
      <c r="J35" s="28">
        <f>IF(AND(F35=0,OR(AND($A35=$G32,$B35&lt;$D35),AND($E35=$G32,$D35&lt;$B35))),1,0)</f>
        <v>0</v>
      </c>
      <c r="K35" s="28">
        <f>IF(F35&gt;0,0,IF($A35=$G32,$B35,IF($E35=$G32,$D35,0)))</f>
        <v>0</v>
      </c>
      <c r="L35" s="28">
        <f>IF(F35&gt;0,0,IF($A35=$G32,$D35,IF($E35=$G32,$B35,0)))</f>
        <v>0</v>
      </c>
      <c r="M35">
        <f t="shared" si="40"/>
        <v>0</v>
      </c>
      <c r="N35">
        <f>IF(AND(F35=0,OR($A35=$N32,$E35=$N32)),1,0)</f>
        <v>0</v>
      </c>
      <c r="O35">
        <f>IF(AND(F35=0,OR(AND($A35=$N32,$B35&gt;$D35),AND($E35=$N32,$D35&gt;$B35))),1,0)</f>
        <v>0</v>
      </c>
      <c r="P35">
        <f t="shared" si="41"/>
        <v>0</v>
      </c>
      <c r="Q35">
        <f>IF(AND(F35=0,OR(AND($A35=$N32,$B35&lt;$D35),AND($E35=$N32,$D35&lt;$B35))),1,0)</f>
        <v>0</v>
      </c>
      <c r="R35">
        <f>IF(F35&gt;0,0,IF($A35=$N32,$B35,IF($E35=$N32,$D35,0)))</f>
        <v>0</v>
      </c>
      <c r="S35">
        <f>IF(F35&gt;0,0,IF($A35=$N32,$D35,IF($E35=$N32,$B35,0)))</f>
        <v>0</v>
      </c>
      <c r="T35">
        <f t="shared" si="42"/>
        <v>0</v>
      </c>
      <c r="U35">
        <f>IF(AND(F35=0,OR($A35=$U32,$E35=$U32)),1,0)</f>
        <v>1</v>
      </c>
      <c r="V35">
        <f>IF(AND(F35=0,OR(AND($A35=$U32,$B35&gt;$D35),AND($E35=$U32,$D35&gt;$B35))),1,0)</f>
        <v>1</v>
      </c>
      <c r="W35">
        <f t="shared" si="43"/>
        <v>0</v>
      </c>
      <c r="X35">
        <f>IF(AND(F35=0,OR(AND($A35=$U32,$B35&lt;$D35),AND($E35=$U32,$D35&lt;$B35))),1,0)</f>
        <v>0</v>
      </c>
      <c r="Y35">
        <f>IF(F35&gt;0,0,IF($A35=$U32,$B35,IF($E35=$U32,$D35,0)))</f>
        <v>3</v>
      </c>
      <c r="Z35">
        <f>IF(F35&gt;0,0,IF($A35=$U32,$D35,IF($E35=$U32,$B35,0)))</f>
        <v>1</v>
      </c>
      <c r="AA35">
        <f t="shared" si="44"/>
        <v>2</v>
      </c>
      <c r="AB35">
        <f>IF(AND(F35=0,OR($A35=$AB32,$E35=$AB32)),1,0)</f>
        <v>1</v>
      </c>
      <c r="AC35">
        <f>IF(AND(F35=0,OR(AND($A35=$AB32,$B35&gt;$D35),AND($E35=$AB32,$D35&gt;$B35))),1,0)</f>
        <v>0</v>
      </c>
      <c r="AD35">
        <f t="shared" si="45"/>
        <v>0</v>
      </c>
      <c r="AE35">
        <f>IF(AND(F35=0,OR(AND($A35=$AB32,$B35&lt;$D35),AND($E35=$AB32,$D35&lt;$B35))),1,0)</f>
        <v>1</v>
      </c>
      <c r="AF35">
        <f>IF(F35&gt;0,0,IF($A35=$AB32,$B35,IF($E35=$AB32,$D35,0)))</f>
        <v>1</v>
      </c>
      <c r="AG35">
        <f>IF(F35&gt;0,0,IF($A35=$AB32,$D35,IF($E35=$AB32,$B35,0)))</f>
        <v>3</v>
      </c>
      <c r="AH35">
        <f t="shared" si="46"/>
        <v>0</v>
      </c>
      <c r="AJ35" s="28" t="str">
        <f>N32</f>
        <v>BAHENSKÝ Tomáš (TTC Koral Tišnov)</v>
      </c>
      <c r="AK35" s="28">
        <f t="shared" ref="AK35:AQ35" si="48">N40</f>
        <v>3</v>
      </c>
      <c r="AL35" s="28">
        <f t="shared" si="48"/>
        <v>1</v>
      </c>
      <c r="AM35" s="28">
        <f t="shared" si="48"/>
        <v>0</v>
      </c>
      <c r="AN35" s="28">
        <f t="shared" si="48"/>
        <v>2</v>
      </c>
      <c r="AO35" s="28">
        <f t="shared" si="48"/>
        <v>5</v>
      </c>
      <c r="AP35" s="28">
        <f t="shared" si="48"/>
        <v>6</v>
      </c>
      <c r="AQ35" s="28">
        <f t="shared" si="48"/>
        <v>2</v>
      </c>
      <c r="AS35" s="28" t="str">
        <f>IF($AQ35&lt;=$AQ34,$AJ35,$AJ34)</f>
        <v>BAHENSKÝ Tomáš (TTC Koral Tišnov)</v>
      </c>
      <c r="AT35" s="28">
        <f>VLOOKUP(AS35,$AJ34:$AQ37,8,FALSE)</f>
        <v>2</v>
      </c>
      <c r="AU35" s="28" t="str">
        <f>IF($AT35&gt;=$AT37,$AS35,$AS37)</f>
        <v>BAHENSKÝ Tomáš (TTC Koral Tišnov)</v>
      </c>
      <c r="AV35" s="28">
        <f>VLOOKUP(AU35,$AS34:$AT37,2,FALSE)</f>
        <v>2</v>
      </c>
      <c r="AW35" s="28" t="str">
        <f>IF($AV35&gt;=$AV36,$AU35,$AU36)</f>
        <v>SOBOTÍKOVÁ Monika (TTC MS Brno)</v>
      </c>
      <c r="AX35" s="28">
        <f>VLOOKUP(AW35,$AU34:$AV37,2,FALSE)</f>
        <v>4</v>
      </c>
      <c r="AY35" s="28">
        <f>VLOOKUP(AW35,$AJ34:$AQ37,6,FALSE)</f>
        <v>7</v>
      </c>
      <c r="AZ35" s="28">
        <f>VLOOKUP(AW35,$AJ34:$AQ37,7,FALSE)</f>
        <v>3</v>
      </c>
      <c r="BA35" s="28">
        <f>AY35-AZ35</f>
        <v>4</v>
      </c>
      <c r="BB35" s="28" t="str">
        <f>IF(AND($AX34=$AX35,$BA35&gt;$BA34),$AW34,$AW35)</f>
        <v>SOBOTÍKOVÁ Monika (TTC MS Brno)</v>
      </c>
      <c r="BC35" s="28">
        <f>VLOOKUP(BB35,$AW34:$BA37,2,FALSE)</f>
        <v>4</v>
      </c>
      <c r="BD35" s="28">
        <f>VLOOKUP(BB35,$AW34:$BA37,5,FALSE)</f>
        <v>4</v>
      </c>
      <c r="BE35" s="28" t="str">
        <f>IF(AND($BC35=$BC37,$BD37&gt;$BD35),$BB37,$BB35)</f>
        <v>SOBOTÍKOVÁ Monika (TTC MS Brno)</v>
      </c>
      <c r="BF35" s="28">
        <f>VLOOKUP(BE35,$BB34:$BD37,2,FALSE)</f>
        <v>4</v>
      </c>
      <c r="BG35" s="28">
        <f>VLOOKUP(BE35,$BB34:$BD37,3,FALSE)</f>
        <v>4</v>
      </c>
      <c r="BH35" s="28" t="str">
        <f>IF(AND($BF35=$BF36,$BG36&gt;$BG35),$BE36,$BE35)</f>
        <v>SOBOTÍKOVÁ Monika (TTC MS Brno)</v>
      </c>
      <c r="BI35" s="28">
        <f>VLOOKUP(BH35,$BE34:$BG37,2,FALSE)</f>
        <v>4</v>
      </c>
      <c r="BJ35" s="28">
        <f>VLOOKUP(BH35,$BE34:$BG37,3,FALSE)</f>
        <v>4</v>
      </c>
      <c r="BK35" s="28">
        <f>VLOOKUP(BH35,$AJ34:$AQ37,6,FALSE)</f>
        <v>7</v>
      </c>
      <c r="BL35" s="28" t="str">
        <f>IF(AND($BI34=$BI35,$BJ34=$BJ35,$BK35&gt;$BK34),$BH34,$BH35)</f>
        <v>SOBOTÍKOVÁ Monika (TTC MS Brno)</v>
      </c>
      <c r="BM35" s="28">
        <f>VLOOKUP(BL35,$BH34:$BK37,2,FALSE)</f>
        <v>4</v>
      </c>
      <c r="BN35" s="28">
        <f>VLOOKUP(BL35,$BH34:$BK37,3,FALSE)</f>
        <v>4</v>
      </c>
      <c r="BO35" s="28">
        <f>VLOOKUP(BL35,$BH34:$BK37,4,FALSE)</f>
        <v>7</v>
      </c>
      <c r="BP35" s="28" t="str">
        <f>IF(AND($BM35=$BM37,$BN35=$BN37,$BO37&gt;$BO35),$BL37,$BL35)</f>
        <v>SOBOTÍKOVÁ Monika (TTC MS Brno)</v>
      </c>
      <c r="BQ35" s="28">
        <f>VLOOKUP(BP35,$BL34:$BO37,2,FALSE)</f>
        <v>4</v>
      </c>
      <c r="BR35" s="28">
        <f>VLOOKUP(BP35,$BL34:$BO37,3,FALSE)</f>
        <v>4</v>
      </c>
      <c r="BS35" s="28">
        <f>VLOOKUP(BP35,$BL34:$BO37,4,FALSE)</f>
        <v>7</v>
      </c>
      <c r="BT35" s="28" t="str">
        <f>IF(AND($BQ35=$BQ36,$BR35=$BR36,$BS36&gt;$BS35),$BP36,$BP35)</f>
        <v>SOBOTÍKOVÁ Monika (TTC MS Brno)</v>
      </c>
      <c r="BU35" s="28">
        <f>VLOOKUP(BT35,$BP34:$BS37,2,FALSE)</f>
        <v>4</v>
      </c>
      <c r="BV35" s="28">
        <f>VLOOKUP(BT35,$BP34:$BS37,3,FALSE)</f>
        <v>4</v>
      </c>
      <c r="BW35" s="28">
        <f>VLOOKUP(BT35,$BP34:$BS37,4,FALSE)</f>
        <v>7</v>
      </c>
      <c r="BX35" s="28" t="str">
        <f>BT35</f>
        <v>SOBOTÍKOVÁ Monika (TTC MS Brno)</v>
      </c>
      <c r="BY35" s="28">
        <f>VLOOKUP($BX35,$AJ34:$AQ37,2,FALSE)</f>
        <v>3</v>
      </c>
      <c r="BZ35" s="28">
        <f>VLOOKUP($BX35,$AJ34:$AQ37,3,FALSE)</f>
        <v>2</v>
      </c>
      <c r="CA35" s="28">
        <f>VLOOKUP($BX35,$AJ34:$AQ37,4,FALSE)</f>
        <v>0</v>
      </c>
      <c r="CB35" s="28">
        <f>VLOOKUP($BX35,$AJ34:$AQ37,5,FALSE)</f>
        <v>1</v>
      </c>
      <c r="CC35" s="28">
        <f>VLOOKUP($BX35,$AJ34:$AQ37,6,FALSE)</f>
        <v>7</v>
      </c>
      <c r="CD35" s="28">
        <f>VLOOKUP($BX35,$AJ34:$AQ37,7,FALSE)</f>
        <v>3</v>
      </c>
      <c r="CE35" s="28">
        <f>VLOOKUP($BX35,$AJ34:$AQ37,8,FALSE)</f>
        <v>4</v>
      </c>
      <c r="CF35" s="128" t="str">
        <f>CONCATENATE(CC35,":",CD35)</f>
        <v>7:3</v>
      </c>
    </row>
    <row r="36" spans="1:84" x14ac:dyDescent="0.2">
      <c r="A36" s="27" t="str">
        <f>'1-zapasy'!B29</f>
        <v>BAHENSKÝ Tomáš (TTC Koral Tišnov)</v>
      </c>
      <c r="B36" s="220">
        <f>'1-zapasy'!I29</f>
        <v>2</v>
      </c>
      <c r="C36" s="220" t="e">
        <f>'3-zapasy'!#REF!</f>
        <v>#REF!</v>
      </c>
      <c r="D36" s="220">
        <f>'1-zapasy'!J29</f>
        <v>3</v>
      </c>
      <c r="E36" s="27" t="str">
        <f>'1-zapasy'!C29</f>
        <v>LUSKA Petr (KST Vyškov)</v>
      </c>
      <c r="F36" s="28">
        <f>COUNTBLANK('1-zapasy'!I29:'1-zapasy'!J29)</f>
        <v>0</v>
      </c>
      <c r="G36" s="28">
        <f>IF(AND(F36=0,OR($A36=$G32,$E36=$G32)),1,0)</f>
        <v>0</v>
      </c>
      <c r="H36" s="28">
        <f>IF(AND(F36=0,OR(AND($A36=$G32,$B36&gt;$D36),AND($E36=$G32,$D36&gt;$B36))),1,0)</f>
        <v>0</v>
      </c>
      <c r="I36" s="28">
        <f t="shared" si="39"/>
        <v>0</v>
      </c>
      <c r="J36" s="28">
        <f>IF(AND(F36=0,OR(AND($A36=$G32,$B36&lt;$D36),AND($E36=$G32,$D36&lt;$B36))),1,0)</f>
        <v>0</v>
      </c>
      <c r="K36" s="28">
        <f>IF(F36&gt;0,0,IF($A36=$G32,$B36,IF($E36=$G32,$D36,0)))</f>
        <v>0</v>
      </c>
      <c r="L36" s="28">
        <f>IF(F36&gt;0,0,IF($A36=$G32,$D36,IF($E36=$G32,$B36,0)))</f>
        <v>0</v>
      </c>
      <c r="M36">
        <f t="shared" si="40"/>
        <v>0</v>
      </c>
      <c r="N36">
        <f>IF(AND(F36=0,OR($A36=$N32,$E36=$N32)),1,0)</f>
        <v>1</v>
      </c>
      <c r="O36">
        <f>IF(AND(F36=0,OR(AND($A36=$N32,$B36&gt;$D36),AND($E36=$N32,$D36&gt;$B36))),1,0)</f>
        <v>0</v>
      </c>
      <c r="P36">
        <f t="shared" si="41"/>
        <v>0</v>
      </c>
      <c r="Q36">
        <f>IF(AND(F36=0,OR(AND($A36=$N32,$B36&lt;$D36),AND($E36=$N32,$D36&lt;$B36))),1,0)</f>
        <v>1</v>
      </c>
      <c r="R36">
        <f>IF(F36&gt;0,0,IF($A36=$N32,$B36,IF($E36=$N32,$D36,0)))</f>
        <v>2</v>
      </c>
      <c r="S36">
        <f>IF(F36&gt;0,0,IF($A36=$N32,$D36,IF($E36=$N32,$B36,0)))</f>
        <v>3</v>
      </c>
      <c r="T36">
        <f t="shared" si="42"/>
        <v>0</v>
      </c>
      <c r="U36">
        <f>IF(AND(F36=0,OR($A36=$U32,$E36=$U32)),1,0)</f>
        <v>1</v>
      </c>
      <c r="V36">
        <f>IF(AND(F36=0,OR(AND($A36=$U32,$B36&gt;$D36),AND($E36=$U32,$D36&gt;$B36))),1,0)</f>
        <v>1</v>
      </c>
      <c r="W36">
        <f t="shared" si="43"/>
        <v>0</v>
      </c>
      <c r="X36">
        <f>IF(AND(F36=0,OR(AND($A36=$U32,$B36&lt;$D36),AND($E36=$U32,$D36&lt;$B36))),1,0)</f>
        <v>0</v>
      </c>
      <c r="Y36">
        <f>IF(F36&gt;0,0,IF($A36=$U32,$B36,IF($E36=$U32,$D36,0)))</f>
        <v>3</v>
      </c>
      <c r="Z36">
        <f>IF(F36&gt;0,0,IF($A36=$U32,$D36,IF($E36=$U32,$B36,0)))</f>
        <v>2</v>
      </c>
      <c r="AA36">
        <f t="shared" si="44"/>
        <v>2</v>
      </c>
      <c r="AB36">
        <f>IF(AND(F36=0,OR($A36=$AB32,$E36=$AB32)),1,0)</f>
        <v>0</v>
      </c>
      <c r="AC36">
        <f>IF(AND(F36=0,OR(AND($A36=$AB32,$B36&gt;$D36),AND($E36=$AB32,$D36&gt;$B36))),1,0)</f>
        <v>0</v>
      </c>
      <c r="AD36">
        <f t="shared" si="45"/>
        <v>0</v>
      </c>
      <c r="AE36">
        <f>IF(AND(F36=0,OR(AND($A36=$AB32,$B36&lt;$D36),AND($E36=$AB32,$D36&lt;$B36))),1,0)</f>
        <v>0</v>
      </c>
      <c r="AF36">
        <f>IF(F36&gt;0,0,IF($A36=$AB32,$B36,IF($E36=$AB32,$D36,0)))</f>
        <v>0</v>
      </c>
      <c r="AG36">
        <f>IF(F36&gt;0,0,IF($A36=$AB32,$D36,IF($E36=$AB32,$B36,0)))</f>
        <v>0</v>
      </c>
      <c r="AH36">
        <f t="shared" si="46"/>
        <v>0</v>
      </c>
      <c r="AJ36" s="28" t="str">
        <f>U32</f>
        <v>LUSKA Petr (KST Vyškov)</v>
      </c>
      <c r="AK36" s="28">
        <f t="shared" ref="AK36:AQ36" si="49">U40</f>
        <v>3</v>
      </c>
      <c r="AL36" s="28">
        <f t="shared" si="49"/>
        <v>3</v>
      </c>
      <c r="AM36" s="28">
        <f t="shared" si="49"/>
        <v>0</v>
      </c>
      <c r="AN36" s="28">
        <f t="shared" si="49"/>
        <v>0</v>
      </c>
      <c r="AO36" s="28">
        <f t="shared" si="49"/>
        <v>9</v>
      </c>
      <c r="AP36" s="28">
        <f t="shared" si="49"/>
        <v>4</v>
      </c>
      <c r="AQ36" s="28">
        <f t="shared" si="49"/>
        <v>6</v>
      </c>
      <c r="AS36" s="28" t="str">
        <f>IF($AQ36&gt;=$AQ37,$AJ36,$AJ37)</f>
        <v>LUSKA Petr (KST Vyškov)</v>
      </c>
      <c r="AT36" s="28">
        <f>VLOOKUP(AS36,$AJ34:$AQ37,8,FALSE)</f>
        <v>6</v>
      </c>
      <c r="AU36" s="28" t="str">
        <f>IF($AT36&lt;=$AT34,$AS36,$AS34)</f>
        <v>SOBOTÍKOVÁ Monika (TTC MS Brno)</v>
      </c>
      <c r="AV36" s="28">
        <f>VLOOKUP(AU36,$AS34:$AT37,2,FALSE)</f>
        <v>4</v>
      </c>
      <c r="AW36" s="28" t="str">
        <f>IF($AV36&lt;=$AV35,$AU36,$AU35)</f>
        <v>BAHENSKÝ Tomáš (TTC Koral Tišnov)</v>
      </c>
      <c r="AX36" s="28">
        <f>VLOOKUP(AW36,$AU34:$AV37,2,FALSE)</f>
        <v>2</v>
      </c>
      <c r="AY36" s="28">
        <f>VLOOKUP(AW36,$AJ34:$AQ37,6,FALSE)</f>
        <v>5</v>
      </c>
      <c r="AZ36" s="28">
        <f>VLOOKUP(AW36,$AJ34:$AQ37,7,FALSE)</f>
        <v>6</v>
      </c>
      <c r="BA36" s="28">
        <f>AY36-AZ36</f>
        <v>-1</v>
      </c>
      <c r="BB36" s="28" t="str">
        <f>IF(AND($AX36=$AX37,$BA37&gt;$BA36),$AW37,$AW36)</f>
        <v>BAHENSKÝ Tomáš (TTC Koral Tišnov)</v>
      </c>
      <c r="BC36" s="28">
        <f>VLOOKUP(BB36,$AW34:$BA37,2,FALSE)</f>
        <v>2</v>
      </c>
      <c r="BD36" s="28">
        <f>VLOOKUP(BB36,$AW34:$BA37,5,FALSE)</f>
        <v>-1</v>
      </c>
      <c r="BE36" s="28" t="str">
        <f>IF(AND($BC34=$BC36,$BD36&gt;$BD34),$BB34,$BB36)</f>
        <v>BAHENSKÝ Tomáš (TTC Koral Tišnov)</v>
      </c>
      <c r="BF36" s="28">
        <f>VLOOKUP(BE36,$BB34:$BD37,2,FALSE)</f>
        <v>2</v>
      </c>
      <c r="BG36" s="28">
        <f>VLOOKUP(BE36,$BB34:$BD37,3,FALSE)</f>
        <v>-1</v>
      </c>
      <c r="BH36" s="28" t="str">
        <f>IF(AND($BF35=$BF36,$BG36&gt;$BG35),$BE35,$BE36)</f>
        <v>BAHENSKÝ Tomáš (TTC Koral Tišnov)</v>
      </c>
      <c r="BI36" s="28">
        <f>VLOOKUP(BH36,$BE34:$BG37,2,FALSE)</f>
        <v>2</v>
      </c>
      <c r="BJ36" s="28">
        <f>VLOOKUP(BH36,$BE34:$BG37,3,FALSE)</f>
        <v>-1</v>
      </c>
      <c r="BK36" s="28">
        <f>VLOOKUP(BH36,$AJ34:$AQ37,6,FALSE)</f>
        <v>5</v>
      </c>
      <c r="BL36" s="28" t="str">
        <f>IF(AND($BI36=$BI37,$BJ36=$BJ37,$BK37&gt;$BK36),$BH37,$BH36)</f>
        <v>BAHENSKÝ Tomáš (TTC Koral Tišnov)</v>
      </c>
      <c r="BM36" s="28">
        <f>VLOOKUP(BL36,$BH34:$BK37,2,FALSE)</f>
        <v>2</v>
      </c>
      <c r="BN36" s="28">
        <f>VLOOKUP(BL36,$BH34:$BK37,3,FALSE)</f>
        <v>-1</v>
      </c>
      <c r="BO36" s="28">
        <f>VLOOKUP(BL36,$BH34:$BK37,4,FALSE)</f>
        <v>5</v>
      </c>
      <c r="BP36" s="28" t="str">
        <f>IF(AND($BM34=$BM36,$BN34=$BN36,$BO36&gt;$BO34),$BL34,$BL36)</f>
        <v>BAHENSKÝ Tomáš (TTC Koral Tišnov)</v>
      </c>
      <c r="BQ36" s="28">
        <f>VLOOKUP(BP36,$BL34:$BO37,2,FALSE)</f>
        <v>2</v>
      </c>
      <c r="BR36" s="28">
        <f>VLOOKUP(BP36,$BL34:$BO37,3,FALSE)</f>
        <v>-1</v>
      </c>
      <c r="BS36" s="28">
        <f>VLOOKUP(BP36,$BL34:$BO37,4,FALSE)</f>
        <v>5</v>
      </c>
      <c r="BT36" s="28" t="str">
        <f>IF(AND($BQ35=$BQ36,$BR35=$BR36,$BS36&gt;$BS35),$BP35,$BP36)</f>
        <v>BAHENSKÝ Tomáš (TTC Koral Tišnov)</v>
      </c>
      <c r="BU36" s="28">
        <f>VLOOKUP(BT36,$BP34:$BS37,2,FALSE)</f>
        <v>2</v>
      </c>
      <c r="BV36" s="28">
        <f>VLOOKUP(BT36,$BP34:$BS37,3,FALSE)</f>
        <v>-1</v>
      </c>
      <c r="BW36" s="28">
        <f>VLOOKUP(BT36,$BP34:$BS37,4,FALSE)</f>
        <v>5</v>
      </c>
      <c r="BX36" s="28" t="str">
        <f>BT36</f>
        <v>BAHENSKÝ Tomáš (TTC Koral Tišnov)</v>
      </c>
      <c r="BY36" s="28">
        <f>VLOOKUP($BX36,$AJ34:$AQ37,2,FALSE)</f>
        <v>3</v>
      </c>
      <c r="BZ36" s="28">
        <f>VLOOKUP($BX36,$AJ34:$AQ37,3,FALSE)</f>
        <v>1</v>
      </c>
      <c r="CA36" s="28">
        <f>VLOOKUP($BX36,$AJ34:$AQ37,4,FALSE)</f>
        <v>0</v>
      </c>
      <c r="CB36" s="28">
        <f>VLOOKUP($BX36,$AJ34:$AQ37,5,FALSE)</f>
        <v>2</v>
      </c>
      <c r="CC36" s="28">
        <f>VLOOKUP($BX36,$AJ34:$AQ37,6,FALSE)</f>
        <v>5</v>
      </c>
      <c r="CD36" s="28">
        <f>VLOOKUP($BX36,$AJ34:$AQ37,7,FALSE)</f>
        <v>6</v>
      </c>
      <c r="CE36" s="28">
        <f>VLOOKUP($BX36,$AJ34:$AQ37,8,FALSE)</f>
        <v>2</v>
      </c>
      <c r="CF36" s="128" t="str">
        <f>CONCATENATE(CC36,":",CD36)</f>
        <v>5:6</v>
      </c>
    </row>
    <row r="37" spans="1:84" x14ac:dyDescent="0.2">
      <c r="A37" s="27" t="str">
        <f>'1-zapasy'!B30</f>
        <v>KOTÁSKOVÁ Kristýna (SKST Hodonín)</v>
      </c>
      <c r="B37" s="220">
        <f>'1-zapasy'!I30</f>
        <v>0</v>
      </c>
      <c r="C37" s="220" t="e">
        <f>'3-zapasy'!#REF!</f>
        <v>#REF!</v>
      </c>
      <c r="D37" s="220">
        <f>'1-zapasy'!J30</f>
        <v>3</v>
      </c>
      <c r="E37" s="27" t="str">
        <f>'1-zapasy'!C30</f>
        <v>SOBOTÍKOVÁ Monika (TTC MS Brno)</v>
      </c>
      <c r="F37" s="28">
        <f>COUNTBLANK('1-zapasy'!I30:'1-zapasy'!J30)</f>
        <v>0</v>
      </c>
      <c r="G37" s="28">
        <f>IF(AND(F37=0,OR($A37=$G32,$E37=$G32)),1,0)</f>
        <v>1</v>
      </c>
      <c r="H37" s="28">
        <f>IF(AND(F37=0,OR(AND($A37=$G32,$B37&gt;$D37),AND($E37=$G32,$D37&gt;$B37))),1,0)</f>
        <v>1</v>
      </c>
      <c r="I37" s="28">
        <f t="shared" si="39"/>
        <v>0</v>
      </c>
      <c r="J37" s="28">
        <f>IF(AND(F37=0,OR(AND($A37=$G32,$B37&lt;$D37),AND($E37=$G32,$D37&lt;$B37))),1,0)</f>
        <v>0</v>
      </c>
      <c r="K37" s="28">
        <f>IF(F37&gt;0,0,IF($A37=$G32,$B37,IF($E37=$G32,$D37,0)))</f>
        <v>3</v>
      </c>
      <c r="L37" s="28">
        <f>IF(F37&gt;0,0,IF($A37=$G32,$D37,IF($E37=$G32,$B37,0)))</f>
        <v>0</v>
      </c>
      <c r="M37">
        <f t="shared" si="40"/>
        <v>2</v>
      </c>
      <c r="N37">
        <f>IF(AND(F37=0,OR($A37=$N32,$E37=$N32)),1,0)</f>
        <v>0</v>
      </c>
      <c r="O37">
        <f>IF(AND(F37=0,OR(AND($A37=$N32,$B37&gt;$D37),AND($E37=$N32,$D37&gt;$B37))),1,0)</f>
        <v>0</v>
      </c>
      <c r="P37">
        <f t="shared" si="41"/>
        <v>0</v>
      </c>
      <c r="Q37">
        <f>IF(AND(F37=0,OR(AND($A37=$N32,$B37&lt;$D37),AND($E37=$N32,$D37&lt;$B37))),1,0)</f>
        <v>0</v>
      </c>
      <c r="R37">
        <f>IF(F37&gt;0,0,IF($A37=$N32,$B37,IF($E37=$N32,$D37,0)))</f>
        <v>0</v>
      </c>
      <c r="S37">
        <f>IF(F37&gt;0,0,IF($A37=$N32,$D37,IF($E37=$N32,$B37,0)))</f>
        <v>0</v>
      </c>
      <c r="T37">
        <f t="shared" si="42"/>
        <v>0</v>
      </c>
      <c r="U37">
        <f>IF(AND(F37=0,OR($A37=$U32,$E37=$U32)),1,0)</f>
        <v>0</v>
      </c>
      <c r="V37">
        <f>IF(AND(F37=0,OR(AND($A37=$U32,$B37&gt;$D37),AND($E37=$U32,$D37&gt;$B37))),1,0)</f>
        <v>0</v>
      </c>
      <c r="W37">
        <f t="shared" si="43"/>
        <v>0</v>
      </c>
      <c r="X37">
        <f>IF(AND(F37=0,OR(AND($A37=$U32,$B37&lt;$D37),AND($E37=$U32,$D37&lt;$B37))),1,0)</f>
        <v>0</v>
      </c>
      <c r="Y37">
        <f>IF(F37&gt;0,0,IF($A37=$U32,$B37,IF($E37=$U32,$D37,0)))</f>
        <v>0</v>
      </c>
      <c r="Z37">
        <f>IF(F37&gt;0,0,IF($A37=$U32,$D37,IF($E37=$U32,$B37,0)))</f>
        <v>0</v>
      </c>
      <c r="AA37">
        <f t="shared" si="44"/>
        <v>0</v>
      </c>
      <c r="AB37">
        <f>IF(AND(F37=0,OR($A37=$AB32,$E37=$AB32)),1,0)</f>
        <v>1</v>
      </c>
      <c r="AC37">
        <f>IF(AND(F37=0,OR(AND($A37=$AB32,$B37&gt;$D37),AND($E37=$AB32,$D37&gt;$B37))),1,0)</f>
        <v>0</v>
      </c>
      <c r="AD37">
        <f t="shared" si="45"/>
        <v>0</v>
      </c>
      <c r="AE37">
        <f>IF(AND(F37=0,OR(AND($A37=$AB32,$B37&lt;$D37),AND($E37=$AB32,$D37&lt;$B37))),1,0)</f>
        <v>1</v>
      </c>
      <c r="AF37">
        <f>IF(F37&gt;0,0,IF($A37=$AB32,$B37,IF($E37=$AB32,$D37,0)))</f>
        <v>0</v>
      </c>
      <c r="AG37">
        <f>IF(F37&gt;0,0,IF($A37=$AB32,$D37,IF($E37=$AB32,$B37,0)))</f>
        <v>3</v>
      </c>
      <c r="AH37">
        <f t="shared" si="46"/>
        <v>0</v>
      </c>
      <c r="AJ37" s="28" t="str">
        <f>AB32</f>
        <v>KOTÁSKOVÁ Kristýna (SKST Hodonín)</v>
      </c>
      <c r="AK37" s="28">
        <f t="shared" ref="AK37:AQ37" si="50">AB40</f>
        <v>3</v>
      </c>
      <c r="AL37" s="28">
        <f t="shared" si="50"/>
        <v>0</v>
      </c>
      <c r="AM37" s="28">
        <f t="shared" si="50"/>
        <v>0</v>
      </c>
      <c r="AN37" s="28">
        <f t="shared" si="50"/>
        <v>3</v>
      </c>
      <c r="AO37" s="28">
        <f t="shared" si="50"/>
        <v>1</v>
      </c>
      <c r="AP37" s="28">
        <f t="shared" si="50"/>
        <v>9</v>
      </c>
      <c r="AQ37" s="28">
        <f t="shared" si="50"/>
        <v>0</v>
      </c>
      <c r="AS37" s="28" t="str">
        <f>IF($AQ37&lt;=$AQ36,$AJ37,$AJ36)</f>
        <v>KOTÁSKOVÁ Kristýna (SKST Hodonín)</v>
      </c>
      <c r="AT37" s="28">
        <f>VLOOKUP(AS37,$AJ34:$AQ37,8,FALSE)</f>
        <v>0</v>
      </c>
      <c r="AU37" s="28" t="str">
        <f>IF($AT37&lt;=$AT35,$AS37,$AS35)</f>
        <v>KOTÁSKOVÁ Kristýna (SKST Hodonín)</v>
      </c>
      <c r="AV37" s="28">
        <f>VLOOKUP(AU37,$AS34:$AT37,2,FALSE)</f>
        <v>0</v>
      </c>
      <c r="AW37" s="28" t="str">
        <f>IF($AV37&lt;=$AV34,$AU37,$AU34)</f>
        <v>KOTÁSKOVÁ Kristýna (SKST Hodonín)</v>
      </c>
      <c r="AX37" s="28">
        <f>VLOOKUP(AW37,$AU34:$AV37,2,FALSE)</f>
        <v>0</v>
      </c>
      <c r="AY37" s="28">
        <f>VLOOKUP(AW37,$AJ34:$AQ37,6,FALSE)</f>
        <v>1</v>
      </c>
      <c r="AZ37" s="28">
        <f>VLOOKUP(AW37,$AJ34:$AQ37,7,FALSE)</f>
        <v>9</v>
      </c>
      <c r="BA37" s="28">
        <f>AY37-AZ37</f>
        <v>-8</v>
      </c>
      <c r="BB37" s="28" t="str">
        <f>IF(AND($AX36=$AX37,$BA37&gt;$BA36),$AW36,$AW37)</f>
        <v>KOTÁSKOVÁ Kristýna (SKST Hodonín)</v>
      </c>
      <c r="BC37" s="28">
        <f>VLOOKUP(BB37,$AW34:$BA37,2,FALSE)</f>
        <v>0</v>
      </c>
      <c r="BD37" s="28">
        <f>VLOOKUP(BB37,$AW34:$BA37,5,FALSE)</f>
        <v>-8</v>
      </c>
      <c r="BE37" s="28" t="str">
        <f>IF(AND($BC35=$BC37,$BD37&gt;$BD35),$BB35,$BB37)</f>
        <v>KOTÁSKOVÁ Kristýna (SKST Hodonín)</v>
      </c>
      <c r="BF37" s="28">
        <f>VLOOKUP(BE37,$BB34:$BD37,2,FALSE)</f>
        <v>0</v>
      </c>
      <c r="BG37" s="28">
        <f>VLOOKUP(BE37,$BB34:$BD37,3,FALSE)</f>
        <v>-8</v>
      </c>
      <c r="BH37" s="28" t="str">
        <f>IF(AND($BF34=$BF37,$BG37&gt;$BG34),$BE34,$BE37)</f>
        <v>KOTÁSKOVÁ Kristýna (SKST Hodonín)</v>
      </c>
      <c r="BI37" s="28">
        <f>VLOOKUP(BH37,$BE34:$BG37,2,FALSE)</f>
        <v>0</v>
      </c>
      <c r="BJ37" s="28">
        <f>VLOOKUP(BH37,$BE34:$BG37,3,FALSE)</f>
        <v>-8</v>
      </c>
      <c r="BK37" s="28">
        <f>VLOOKUP(BH37,$AJ34:$AQ37,6,FALSE)</f>
        <v>1</v>
      </c>
      <c r="BL37" s="28" t="str">
        <f>IF(AND($BI36=$BI37,$BJ36=$BJ37,$BK37&gt;$BK36),$BH36,$BH37)</f>
        <v>KOTÁSKOVÁ Kristýna (SKST Hodonín)</v>
      </c>
      <c r="BM37" s="28">
        <f>VLOOKUP(BL37,$BH34:$BK37,2,FALSE)</f>
        <v>0</v>
      </c>
      <c r="BN37" s="28">
        <f>VLOOKUP(BL37,$BH34:$BK37,3,FALSE)</f>
        <v>-8</v>
      </c>
      <c r="BO37" s="28">
        <f>VLOOKUP(BL37,$BH34:$BK37,4,FALSE)</f>
        <v>1</v>
      </c>
      <c r="BP37" s="28" t="str">
        <f>IF(AND($BM35=$BM37,$BN35=$BN37,$BO37&gt;$BO35),$BL35,$BL37)</f>
        <v>KOTÁSKOVÁ Kristýna (SKST Hodonín)</v>
      </c>
      <c r="BQ37" s="28">
        <f>VLOOKUP(BP37,$BL34:$BO37,2,FALSE)</f>
        <v>0</v>
      </c>
      <c r="BR37" s="28">
        <f>VLOOKUP(BP37,$BL34:$BO37,3,FALSE)</f>
        <v>-8</v>
      </c>
      <c r="BS37" s="28">
        <f>VLOOKUP(BP37,$BL34:$BO37,4,FALSE)</f>
        <v>1</v>
      </c>
      <c r="BT37" s="28" t="str">
        <f>IF(AND($BQ34=$BQ37,$BR34=$BR37,$BS37&gt;$BS34),$BP34,$BP37)</f>
        <v>KOTÁSKOVÁ Kristýna (SKST Hodonín)</v>
      </c>
      <c r="BU37" s="28">
        <f>VLOOKUP(BT37,$BP34:$BS37,2,FALSE)</f>
        <v>0</v>
      </c>
      <c r="BV37" s="28">
        <f>VLOOKUP(BT37,$BP34:$BS37,3,FALSE)</f>
        <v>-8</v>
      </c>
      <c r="BW37" s="28">
        <f>VLOOKUP(BT37,$BP34:$BS37,4,FALSE)</f>
        <v>1</v>
      </c>
      <c r="BX37" s="28" t="str">
        <f>BT37</f>
        <v>KOTÁSKOVÁ Kristýna (SKST Hodonín)</v>
      </c>
      <c r="BY37" s="28">
        <f>VLOOKUP($BX37,$AJ34:$AQ37,2,FALSE)</f>
        <v>3</v>
      </c>
      <c r="BZ37" s="28">
        <f>VLOOKUP($BX37,$AJ34:$AQ37,3,FALSE)</f>
        <v>0</v>
      </c>
      <c r="CA37" s="28">
        <f>VLOOKUP($BX37,$AJ34:$AQ37,4,FALSE)</f>
        <v>0</v>
      </c>
      <c r="CB37" s="28">
        <f>VLOOKUP($BX37,$AJ34:$AQ37,5,FALSE)</f>
        <v>3</v>
      </c>
      <c r="CC37" s="28">
        <f>VLOOKUP($BX37,$AJ34:$AQ37,6,FALSE)</f>
        <v>1</v>
      </c>
      <c r="CD37" s="28">
        <f>VLOOKUP($BX37,$AJ34:$AQ37,7,FALSE)</f>
        <v>9</v>
      </c>
      <c r="CE37" s="28">
        <f>VLOOKUP($BX37,$AJ34:$AQ37,8,FALSE)</f>
        <v>0</v>
      </c>
      <c r="CF37" s="128" t="str">
        <f>CONCATENATE(CC37,":",CD37)</f>
        <v>1:9</v>
      </c>
    </row>
    <row r="38" spans="1:84" x14ac:dyDescent="0.2">
      <c r="A38" s="27" t="str">
        <f>'1-zapasy'!B31</f>
        <v>KOTÁSKOVÁ Kristýna (SKST Hodonín)</v>
      </c>
      <c r="B38" s="220">
        <f>'1-zapasy'!I31</f>
        <v>0</v>
      </c>
      <c r="C38" s="220" t="e">
        <f>'3-zapasy'!#REF!</f>
        <v>#REF!</v>
      </c>
      <c r="D38" s="220">
        <f>'1-zapasy'!J31</f>
        <v>3</v>
      </c>
      <c r="E38" s="27" t="str">
        <f>'1-zapasy'!C31</f>
        <v>BAHENSKÝ Tomáš (TTC Koral Tišnov)</v>
      </c>
      <c r="F38" s="28">
        <f>COUNTBLANK('1-zapasy'!I31:'1-zapasy'!J31)</f>
        <v>0</v>
      </c>
      <c r="G38" s="28">
        <f>IF(AND(F38=0,OR($A38=$G32,$E38=$G32)),1,0)</f>
        <v>0</v>
      </c>
      <c r="H38" s="28">
        <f>IF(AND(F38=0,OR(AND($A38=$G32,$B38&gt;$D38),AND($E38=$G32,$D38&gt;$B38))),1,0)</f>
        <v>0</v>
      </c>
      <c r="I38" s="28">
        <f t="shared" si="39"/>
        <v>0</v>
      </c>
      <c r="J38" s="28">
        <f>IF(AND(F38=0,OR(AND($A38=$G32,$B38&lt;$D38),AND($E38=$G32,$D38&lt;$B38))),1,0)</f>
        <v>0</v>
      </c>
      <c r="K38" s="28">
        <f>IF(F38&gt;0,0,IF($A38=$G32,$B38,IF($E38=$G32,$D38,0)))</f>
        <v>0</v>
      </c>
      <c r="L38" s="28">
        <f>IF(F38&gt;0,0,IF($A38=$G32,$D38,IF($E38=$G32,$B38,0)))</f>
        <v>0</v>
      </c>
      <c r="M38">
        <f t="shared" si="40"/>
        <v>0</v>
      </c>
      <c r="N38">
        <f>IF(AND(F38=0,OR($A38=$N32,$E38=$N32)),1,0)</f>
        <v>1</v>
      </c>
      <c r="O38">
        <f>IF(AND(F38=0,OR(AND($A38=$N32,$B38&gt;$D38),AND($E38=$N32,$D38&gt;$B38))),1,0)</f>
        <v>1</v>
      </c>
      <c r="P38">
        <f t="shared" si="41"/>
        <v>0</v>
      </c>
      <c r="Q38">
        <f>IF(AND(F38=0,OR(AND($A38=$N32,$B38&lt;$D38),AND($E38=$N32,$D38&lt;$B38))),1,0)</f>
        <v>0</v>
      </c>
      <c r="R38">
        <f>IF(F38&gt;0,0,IF($A38=$N32,$B38,IF($E38=$N32,$D38,0)))</f>
        <v>3</v>
      </c>
      <c r="S38">
        <f>IF(F38&gt;0,0,IF($A38=$N32,$D38,IF($E38=$N32,$B38,0)))</f>
        <v>0</v>
      </c>
      <c r="T38">
        <f t="shared" si="42"/>
        <v>2</v>
      </c>
      <c r="U38">
        <f>IF(AND(F38=0,OR($A38=$U32,$E38=$U32)),1,0)</f>
        <v>0</v>
      </c>
      <c r="V38">
        <f>IF(AND(F38=0,OR(AND($A38=$U32,$B38&gt;$D38),AND($E38=$U32,$D38&gt;$B38))),1,0)</f>
        <v>0</v>
      </c>
      <c r="W38">
        <f t="shared" si="43"/>
        <v>0</v>
      </c>
      <c r="X38">
        <f>IF(AND(F38=0,OR(AND($A38=$U32,$B38&lt;$D38),AND($E38=$U32,$D38&lt;$B38))),1,0)</f>
        <v>0</v>
      </c>
      <c r="Y38">
        <f>IF(F38&gt;0,0,IF($A38=$U32,$B38,IF($E38=$U32,$D38,0)))</f>
        <v>0</v>
      </c>
      <c r="Z38">
        <f>IF(F38&gt;0,0,IF($A38=$U32,$D38,IF($E38=$U32,$B38,0)))</f>
        <v>0</v>
      </c>
      <c r="AA38">
        <f t="shared" si="44"/>
        <v>0</v>
      </c>
      <c r="AB38">
        <f>IF(AND(F38=0,OR($A38=$AB32,$E38=$AB32)),1,0)</f>
        <v>1</v>
      </c>
      <c r="AC38">
        <f>IF(AND(F38=0,OR(AND($A38=$AB32,$B38&gt;$D38),AND($E38=$AB32,$D38&gt;$B38))),1,0)</f>
        <v>0</v>
      </c>
      <c r="AD38">
        <f t="shared" si="45"/>
        <v>0</v>
      </c>
      <c r="AE38">
        <f>IF(AND(F38=0,OR(AND($A38=$AB32,$B38&lt;$D38),AND($E38=$AB32,$D38&lt;$B38))),1,0)</f>
        <v>1</v>
      </c>
      <c r="AF38">
        <f>IF(F38&gt;0,0,IF($A38=$AB32,$B38,IF($E38=$AB32,$D38,0)))</f>
        <v>0</v>
      </c>
      <c r="AG38">
        <f>IF(F38&gt;0,0,IF($A38=$AB32,$D38,IF($E38=$AB32,$B38,0)))</f>
        <v>3</v>
      </c>
      <c r="AH38">
        <f t="shared" si="46"/>
        <v>0</v>
      </c>
    </row>
    <row r="39" spans="1:84" x14ac:dyDescent="0.2">
      <c r="A39" s="27" t="str">
        <f>'1-zapasy'!B32</f>
        <v>SOBOTÍKOVÁ Monika (TTC MS Brno)</v>
      </c>
      <c r="B39" s="220">
        <f>'1-zapasy'!I32</f>
        <v>1</v>
      </c>
      <c r="C39" s="220" t="e">
        <f>'3-zapasy'!#REF!</f>
        <v>#REF!</v>
      </c>
      <c r="D39" s="220">
        <f>'1-zapasy'!J32</f>
        <v>3</v>
      </c>
      <c r="E39" s="27" t="str">
        <f>'1-zapasy'!C32</f>
        <v>LUSKA Petr (KST Vyškov)</v>
      </c>
      <c r="F39" s="28">
        <f>COUNTBLANK('1-zapasy'!I32:'1-zapasy'!J32)</f>
        <v>0</v>
      </c>
      <c r="G39" s="28">
        <f>IF(AND(F39=0,OR($A39=$G32,$E39=$G32)),1,0)</f>
        <v>1</v>
      </c>
      <c r="H39" s="28">
        <f>IF(AND(F39=0,OR(AND($A39=$G32,$B39&gt;$D39),AND($E39=$G32,$D39&gt;$B39))),1,0)</f>
        <v>0</v>
      </c>
      <c r="I39" s="28">
        <f t="shared" si="39"/>
        <v>0</v>
      </c>
      <c r="J39" s="28">
        <f>IF(AND(F39=0,OR(AND($A39=$G32,$B39&lt;$D39),AND($E39=$G32,$D39&lt;$B39))),1,0)</f>
        <v>1</v>
      </c>
      <c r="K39" s="28">
        <f>IF(F39&gt;0,0,IF($A39=$G32,$B39,IF($E39=$G32,$D39,0)))</f>
        <v>1</v>
      </c>
      <c r="L39" s="28">
        <f>IF(F39&gt;0,0,IF($A39=$G32,$D39,IF($E39=$G32,$B39,0)))</f>
        <v>3</v>
      </c>
      <c r="M39">
        <f t="shared" si="40"/>
        <v>0</v>
      </c>
      <c r="N39">
        <f>IF(AND(F39=0,OR($A39=$N32,$E39=$N32)),1,0)</f>
        <v>0</v>
      </c>
      <c r="O39">
        <f>IF(AND(F39=0,OR(AND($A39=$N32,$B39&gt;$D39),AND($E39=$N32,$D39&gt;$B39))),1,0)</f>
        <v>0</v>
      </c>
      <c r="P39">
        <f t="shared" si="41"/>
        <v>0</v>
      </c>
      <c r="Q39">
        <f>IF(AND(F39=0,OR(AND($A39=$N32,$B39&lt;$D39),AND($E39=$N32,$D39&lt;$B39))),1,0)</f>
        <v>0</v>
      </c>
      <c r="R39">
        <f>IF(F39&gt;0,0,IF($A39=$N32,$B39,IF($E39=$N32,$D39,0)))</f>
        <v>0</v>
      </c>
      <c r="S39">
        <f>IF(F39&gt;0,0,IF($A39=$N32,$D39,IF($E39=$N32,$B39,0)))</f>
        <v>0</v>
      </c>
      <c r="T39">
        <f t="shared" si="42"/>
        <v>0</v>
      </c>
      <c r="U39">
        <f>IF(AND(F39=0,OR($A39=$U32,$E39=$U32)),1,0)</f>
        <v>1</v>
      </c>
      <c r="V39">
        <f>IF(AND(F39=0,OR(AND($A39=$U32,$B39&gt;$D39),AND($E39=$U32,$D39&gt;$B39))),1,0)</f>
        <v>1</v>
      </c>
      <c r="W39">
        <f t="shared" si="43"/>
        <v>0</v>
      </c>
      <c r="X39">
        <f>IF(AND(F39=0,OR(AND($A39=$U32,$B39&lt;$D39),AND($E39=$U32,$D39&lt;$B39))),1,0)</f>
        <v>0</v>
      </c>
      <c r="Y39">
        <f>IF(F39&gt;0,0,IF($A39=$U32,$B39,IF($E39=$U32,$D39,0)))</f>
        <v>3</v>
      </c>
      <c r="Z39">
        <f>IF(F39&gt;0,0,IF($A39=$U32,$D39,IF($E39=$U32,$B39,0)))</f>
        <v>1</v>
      </c>
      <c r="AA39">
        <f t="shared" si="44"/>
        <v>2</v>
      </c>
      <c r="AB39">
        <f>IF(AND(F39=0,OR($A39=$AB32,$E39=$AB32)),1,0)</f>
        <v>0</v>
      </c>
      <c r="AC39">
        <f>IF(AND(F39=0,OR(AND($A39=$AB32,$B39&gt;$D39),AND($E39=$AB32,$D39&gt;$B39))),1,0)</f>
        <v>0</v>
      </c>
      <c r="AD39">
        <f t="shared" si="45"/>
        <v>0</v>
      </c>
      <c r="AE39">
        <f>IF(AND(F39=0,OR(AND($A39=$AB32,$B39&lt;$D39),AND($E39=$AB32,$D39&lt;$B39))),1,0)</f>
        <v>0</v>
      </c>
      <c r="AF39">
        <f>IF(F39&gt;0,0,IF($A39=$AB32,$B39,IF($E39=$AB32,$D39,0)))</f>
        <v>0</v>
      </c>
      <c r="AG39">
        <f>IF(F39&gt;0,0,IF($A39=$AB32,$D39,IF($E39=$AB32,$B39,0)))</f>
        <v>0</v>
      </c>
      <c r="AH39">
        <f t="shared" si="46"/>
        <v>0</v>
      </c>
    </row>
    <row r="40" spans="1:84" x14ac:dyDescent="0.2">
      <c r="G40" s="28">
        <f t="shared" ref="G40:AH40" si="51">SUM(G34:G39)</f>
        <v>3</v>
      </c>
      <c r="H40" s="28">
        <f t="shared" si="51"/>
        <v>2</v>
      </c>
      <c r="I40" s="28">
        <f t="shared" si="51"/>
        <v>0</v>
      </c>
      <c r="J40" s="28">
        <f t="shared" si="51"/>
        <v>1</v>
      </c>
      <c r="K40" s="28">
        <f t="shared" si="51"/>
        <v>7</v>
      </c>
      <c r="L40" s="28">
        <f t="shared" si="51"/>
        <v>3</v>
      </c>
      <c r="M40">
        <f t="shared" si="51"/>
        <v>4</v>
      </c>
      <c r="N40">
        <f t="shared" si="51"/>
        <v>3</v>
      </c>
      <c r="O40">
        <f t="shared" si="51"/>
        <v>1</v>
      </c>
      <c r="P40">
        <f t="shared" si="51"/>
        <v>0</v>
      </c>
      <c r="Q40">
        <f t="shared" si="51"/>
        <v>2</v>
      </c>
      <c r="R40">
        <f t="shared" si="51"/>
        <v>5</v>
      </c>
      <c r="S40">
        <f t="shared" si="51"/>
        <v>6</v>
      </c>
      <c r="T40">
        <f t="shared" si="51"/>
        <v>2</v>
      </c>
      <c r="U40">
        <f t="shared" si="51"/>
        <v>3</v>
      </c>
      <c r="V40">
        <f t="shared" si="51"/>
        <v>3</v>
      </c>
      <c r="W40">
        <f t="shared" si="51"/>
        <v>0</v>
      </c>
      <c r="X40">
        <f t="shared" si="51"/>
        <v>0</v>
      </c>
      <c r="Y40">
        <f t="shared" si="51"/>
        <v>9</v>
      </c>
      <c r="Z40">
        <f t="shared" si="51"/>
        <v>4</v>
      </c>
      <c r="AA40">
        <f t="shared" si="51"/>
        <v>6</v>
      </c>
      <c r="AB40">
        <f t="shared" si="51"/>
        <v>3</v>
      </c>
      <c r="AC40">
        <f t="shared" si="51"/>
        <v>0</v>
      </c>
      <c r="AD40">
        <f t="shared" si="51"/>
        <v>0</v>
      </c>
      <c r="AE40">
        <f t="shared" si="51"/>
        <v>3</v>
      </c>
      <c r="AF40">
        <f t="shared" si="51"/>
        <v>1</v>
      </c>
      <c r="AG40">
        <f t="shared" si="51"/>
        <v>9</v>
      </c>
      <c r="AH40">
        <f t="shared" si="51"/>
        <v>0</v>
      </c>
    </row>
    <row r="42" spans="1:84" x14ac:dyDescent="0.2">
      <c r="A42" s="463" t="str">
        <f>'1-zapasy'!A33</f>
        <v>skupina A5</v>
      </c>
      <c r="B42" s="464"/>
      <c r="C42" s="464"/>
      <c r="D42" s="464"/>
      <c r="E42" s="464"/>
      <c r="F42" s="28" t="s">
        <v>67</v>
      </c>
      <c r="G42" s="465" t="str">
        <f>A44</f>
        <v>KRIŠTOF Lukáš (TTC Koral Tišnov)</v>
      </c>
      <c r="H42" s="465"/>
      <c r="I42" s="465"/>
      <c r="J42" s="465"/>
      <c r="K42" s="465"/>
      <c r="L42" s="465"/>
      <c r="M42" s="465"/>
      <c r="N42" s="465" t="str">
        <f>E44</f>
        <v>HABÁŇOVÁ Michaela (KST Blansko)</v>
      </c>
      <c r="O42" s="465"/>
      <c r="P42" s="465"/>
      <c r="Q42" s="465"/>
      <c r="R42" s="465"/>
      <c r="S42" s="465"/>
      <c r="T42" s="465"/>
      <c r="U42" s="465" t="str">
        <f>A45</f>
        <v>CHALÚPEK Filip (TTC MS Brno)</v>
      </c>
      <c r="V42" s="465"/>
      <c r="W42" s="465"/>
      <c r="X42" s="465"/>
      <c r="Y42" s="465"/>
      <c r="Z42" s="465"/>
      <c r="AA42" s="465"/>
      <c r="AB42" s="465" t="str">
        <f>E45</f>
        <v>SVOBODA Ondřej (KST Vyškov)</v>
      </c>
      <c r="AC42" s="465"/>
      <c r="AD42" s="465"/>
      <c r="AE42" s="465"/>
      <c r="AF42" s="465"/>
      <c r="AG42" s="465"/>
      <c r="AH42" s="465"/>
      <c r="AJ42" s="465" t="s">
        <v>68</v>
      </c>
      <c r="AK42" s="465"/>
      <c r="AL42" s="465"/>
      <c r="AM42" s="465"/>
      <c r="AN42" s="465"/>
      <c r="AO42" s="465"/>
      <c r="AP42" s="465"/>
      <c r="AQ42" s="465"/>
      <c r="BX42" s="28" t="s">
        <v>69</v>
      </c>
    </row>
    <row r="43" spans="1:84" x14ac:dyDescent="0.2">
      <c r="A43" s="464"/>
      <c r="B43" s="464"/>
      <c r="C43" s="464"/>
      <c r="D43" s="464"/>
      <c r="E43" s="464"/>
      <c r="F43" s="28" t="s">
        <v>70</v>
      </c>
      <c r="G43" s="28" t="s">
        <v>71</v>
      </c>
      <c r="H43" s="28" t="s">
        <v>72</v>
      </c>
      <c r="I43" s="28" t="s">
        <v>73</v>
      </c>
      <c r="J43" s="28" t="s">
        <v>74</v>
      </c>
      <c r="K43" s="28" t="s">
        <v>75</v>
      </c>
      <c r="L43" s="28" t="s">
        <v>76</v>
      </c>
      <c r="M43" s="28" t="s">
        <v>77</v>
      </c>
      <c r="N43" s="28" t="s">
        <v>71</v>
      </c>
      <c r="O43" s="28" t="s">
        <v>72</v>
      </c>
      <c r="P43" s="28" t="s">
        <v>73</v>
      </c>
      <c r="Q43" s="28" t="s">
        <v>74</v>
      </c>
      <c r="R43" s="28" t="s">
        <v>75</v>
      </c>
      <c r="S43" s="28" t="s">
        <v>76</v>
      </c>
      <c r="T43" s="28" t="s">
        <v>77</v>
      </c>
      <c r="U43" s="28" t="s">
        <v>71</v>
      </c>
      <c r="V43" s="28" t="s">
        <v>72</v>
      </c>
      <c r="W43" s="28" t="s">
        <v>73</v>
      </c>
      <c r="X43" s="28" t="s">
        <v>74</v>
      </c>
      <c r="Y43" s="28" t="s">
        <v>75</v>
      </c>
      <c r="Z43" s="28" t="s">
        <v>76</v>
      </c>
      <c r="AA43" s="28" t="s">
        <v>77</v>
      </c>
      <c r="AB43" s="28" t="s">
        <v>71</v>
      </c>
      <c r="AC43" s="28" t="s">
        <v>72</v>
      </c>
      <c r="AD43" s="28" t="s">
        <v>73</v>
      </c>
      <c r="AE43" s="28" t="s">
        <v>74</v>
      </c>
      <c r="AF43" s="28" t="s">
        <v>75</v>
      </c>
      <c r="AG43" s="28" t="s">
        <v>76</v>
      </c>
      <c r="AH43" s="28" t="s">
        <v>77</v>
      </c>
      <c r="AK43" s="28" t="s">
        <v>71</v>
      </c>
      <c r="AL43" s="28" t="s">
        <v>72</v>
      </c>
      <c r="AM43" s="28" t="s">
        <v>73</v>
      </c>
      <c r="AN43" s="28" t="s">
        <v>74</v>
      </c>
      <c r="AO43" s="28" t="s">
        <v>75</v>
      </c>
      <c r="AP43" s="28" t="s">
        <v>76</v>
      </c>
      <c r="AQ43" s="28" t="s">
        <v>77</v>
      </c>
      <c r="AS43" s="28" t="s">
        <v>78</v>
      </c>
      <c r="AU43" s="28" t="s">
        <v>79</v>
      </c>
      <c r="AW43" s="28" t="s">
        <v>80</v>
      </c>
      <c r="AY43" s="28" t="s">
        <v>81</v>
      </c>
      <c r="BB43" s="28" t="s">
        <v>82</v>
      </c>
      <c r="BE43" s="28" t="s">
        <v>83</v>
      </c>
      <c r="BH43" s="28" t="s">
        <v>84</v>
      </c>
      <c r="BK43" s="28" t="s">
        <v>85</v>
      </c>
      <c r="BL43" s="28" t="s">
        <v>86</v>
      </c>
      <c r="BP43" s="28" t="s">
        <v>87</v>
      </c>
      <c r="BT43" s="28" t="s">
        <v>88</v>
      </c>
      <c r="BY43" s="28" t="s">
        <v>65</v>
      </c>
      <c r="BZ43" s="28" t="s">
        <v>89</v>
      </c>
      <c r="CA43" s="28" t="s">
        <v>58</v>
      </c>
      <c r="CB43" s="28" t="s">
        <v>90</v>
      </c>
      <c r="CC43" s="28" t="s">
        <v>51</v>
      </c>
      <c r="CD43" s="28" t="s">
        <v>53</v>
      </c>
      <c r="CE43" s="28" t="s">
        <v>91</v>
      </c>
    </row>
    <row r="44" spans="1:84" x14ac:dyDescent="0.2">
      <c r="A44" s="27" t="str">
        <f>'1-zapasy'!B35</f>
        <v>KRIŠTOF Lukáš (TTC Koral Tišnov)</v>
      </c>
      <c r="B44" s="220">
        <f>'1-zapasy'!I35</f>
        <v>3</v>
      </c>
      <c r="C44" s="220" t="e">
        <f>'3-zapasy'!#REF!</f>
        <v>#REF!</v>
      </c>
      <c r="D44" s="220">
        <f>'1-zapasy'!J35</f>
        <v>0</v>
      </c>
      <c r="E44" s="27" t="str">
        <f>'1-zapasy'!C35</f>
        <v>HABÁŇOVÁ Michaela (KST Blansko)</v>
      </c>
      <c r="F44" s="28">
        <f>COUNTBLANK('1-zapasy'!I35:'1-zapasy'!J35)</f>
        <v>0</v>
      </c>
      <c r="G44" s="28">
        <f>IF(AND(F44=0,OR($A44=$G42,$E44=$G42)),1,0)</f>
        <v>1</v>
      </c>
      <c r="H44" s="28">
        <f>IF(AND(F44=0,OR(AND($A44=$G42,$B44&gt;$D44),AND($E44=$G42,$D44&gt;$B44))),1,0)</f>
        <v>1</v>
      </c>
      <c r="I44" s="28">
        <f t="shared" ref="I44:I49" si="52">IF(AND(F44=0,G44=1,$B44=$D44),1,0)</f>
        <v>0</v>
      </c>
      <c r="J44" s="28">
        <f>IF(AND(F44=0,OR(AND($A44=$G42,$B44&lt;$D44),AND($E44=$G42,$D44&lt;$B44))),1,0)</f>
        <v>0</v>
      </c>
      <c r="K44" s="28">
        <f>IF(F44&gt;0,0,IF($A44=$G42,$B44,IF($E44=$G42,$D44,0)))</f>
        <v>3</v>
      </c>
      <c r="L44" s="28">
        <f>IF(F44&gt;0,0,IF($A44=$G42,$D44,IF($E44=$G42,$B44,0)))</f>
        <v>0</v>
      </c>
      <c r="M44">
        <f t="shared" ref="M44:M49" si="53">(($H44*$B$10)+$I44)</f>
        <v>2</v>
      </c>
      <c r="N44">
        <f>IF(AND(F44=0,OR($A44=$N42,$E44=$N42)),1,0)</f>
        <v>1</v>
      </c>
      <c r="O44">
        <f>IF(AND(F44=0,OR(AND($A44=$N42,$B44&gt;$D44),AND($E44=$N42,$D44&gt;$B44))),1,0)</f>
        <v>0</v>
      </c>
      <c r="P44">
        <f t="shared" ref="P44:P49" si="54">IF(AND(F44=0,N44=1,$B44=$D44),1,0)</f>
        <v>0</v>
      </c>
      <c r="Q44">
        <f>IF(AND(F44=0,OR(AND($A44=$N42,$B44&lt;$D44),AND($E44=$N42,$D44&lt;$B44))),1,0)</f>
        <v>1</v>
      </c>
      <c r="R44">
        <f>IF(F44&gt;0,0,IF($A44=$N42,$B44,IF($E44=$N42,$D44,0)))</f>
        <v>0</v>
      </c>
      <c r="S44">
        <f>IF(F44&gt;0,0,IF($A44=$N42,$D44,IF($E44=$N42,$B44,0)))</f>
        <v>3</v>
      </c>
      <c r="T44">
        <f t="shared" ref="T44:T49" si="55">(($O44*$B$10)+$P44)</f>
        <v>0</v>
      </c>
      <c r="U44">
        <f>IF(AND(F44=0,OR($A44=$U42,$E44=$U42)),1,0)</f>
        <v>0</v>
      </c>
      <c r="V44">
        <f>IF(AND(F44=0,OR(AND($A44=$U42,$B44&gt;$D44),AND($E44=$U42,$D44&gt;$B44))),1,0)</f>
        <v>0</v>
      </c>
      <c r="W44">
        <f t="shared" ref="W44:W49" si="56">IF(AND(F44=0,U44=1,$B44=$D44),1,0)</f>
        <v>0</v>
      </c>
      <c r="X44">
        <f>IF(AND(F44=0,OR(AND($A44=$U42,$B44&lt;$D44),AND($E44=$U42,$D44&lt;$B44))),1,0)</f>
        <v>0</v>
      </c>
      <c r="Y44">
        <f>IF(F44&gt;0,0,IF($A44=$U42,$B44,IF($E44=$U42,$D44,0)))</f>
        <v>0</v>
      </c>
      <c r="Z44">
        <f>IF(F44&gt;0,0,IF($A44=$U42,$D44,IF($E44=$U42,$B44,0)))</f>
        <v>0</v>
      </c>
      <c r="AA44">
        <f t="shared" ref="AA44:AA49" si="57">(($V44*$B$10)+$W44)</f>
        <v>0</v>
      </c>
      <c r="AB44">
        <f>IF(AND(F44=0,OR($A44=$AB42,$E44=$AB42)),1,0)</f>
        <v>0</v>
      </c>
      <c r="AC44">
        <f>IF(AND(F44=0,OR(AND($A44=$AB42,$B44&gt;$D44),AND($E44=$AB42,$D44&gt;$B44))),1,0)</f>
        <v>0</v>
      </c>
      <c r="AD44">
        <f t="shared" ref="AD44:AD49" si="58">IF(AND(F44=0,AB44=1,$B44=$D44),1,0)</f>
        <v>0</v>
      </c>
      <c r="AE44">
        <f>IF(AND(F44=0,OR(AND($A44=$AB42,$B44&lt;$D44),AND($E44=$AB42,$D44&lt;$B44))),1,0)</f>
        <v>0</v>
      </c>
      <c r="AF44">
        <f>IF(F44&gt;0,0,IF($A44=$AB42,$B44,IF($E44=$AB42,$D44,0)))</f>
        <v>0</v>
      </c>
      <c r="AG44">
        <f>IF(F44&gt;0,0,IF($A44=$AB42,$D44,IF($E44=$AB42,$B44,0)))</f>
        <v>0</v>
      </c>
      <c r="AH44">
        <f t="shared" ref="AH44:AH49" si="59">(($AC44*$B$10)+$AD44)</f>
        <v>0</v>
      </c>
      <c r="AJ44" s="28" t="str">
        <f>G42</f>
        <v>KRIŠTOF Lukáš (TTC Koral Tišnov)</v>
      </c>
      <c r="AK44" s="28">
        <f t="shared" ref="AK44:AQ44" si="60">G50</f>
        <v>3</v>
      </c>
      <c r="AL44" s="28">
        <f t="shared" si="60"/>
        <v>3</v>
      </c>
      <c r="AM44" s="28">
        <f t="shared" si="60"/>
        <v>0</v>
      </c>
      <c r="AN44" s="28">
        <f t="shared" si="60"/>
        <v>0</v>
      </c>
      <c r="AO44" s="28">
        <f t="shared" si="60"/>
        <v>9</v>
      </c>
      <c r="AP44" s="28">
        <f t="shared" si="60"/>
        <v>1</v>
      </c>
      <c r="AQ44" s="28">
        <f t="shared" si="60"/>
        <v>6</v>
      </c>
      <c r="AS44" s="28" t="str">
        <f>IF($AQ44&gt;=$AQ45,$AJ44,$AJ45)</f>
        <v>KRIŠTOF Lukáš (TTC Koral Tišnov)</v>
      </c>
      <c r="AT44" s="28">
        <f>VLOOKUP(AS44,$AJ44:$AQ47,8,FALSE)</f>
        <v>6</v>
      </c>
      <c r="AU44" s="28" t="str">
        <f>IF($AT44&gt;=$AT46,$AS44,$AS46)</f>
        <v>KRIŠTOF Lukáš (TTC Koral Tišnov)</v>
      </c>
      <c r="AV44" s="28">
        <f>VLOOKUP(AU44,$AS44:$AT47,2,FALSE)</f>
        <v>6</v>
      </c>
      <c r="AW44" s="28" t="str">
        <f>IF($AV44&gt;=$AV47,$AU44,$AU47)</f>
        <v>KRIŠTOF Lukáš (TTC Koral Tišnov)</v>
      </c>
      <c r="AX44" s="28">
        <f>VLOOKUP(AW44,$AU44:$AV47,2,FALSE)</f>
        <v>6</v>
      </c>
      <c r="AY44" s="28">
        <f>VLOOKUP(AW44,$AJ44:$AQ47,6,FALSE)</f>
        <v>9</v>
      </c>
      <c r="AZ44" s="28">
        <f>VLOOKUP(AW44,$AJ44:$AQ47,7,FALSE)</f>
        <v>1</v>
      </c>
      <c r="BA44" s="28">
        <f>AY44-AZ44</f>
        <v>8</v>
      </c>
      <c r="BB44" s="28" t="str">
        <f>IF(AND($AX44=$AX45,$BA45&gt;$BA44),$AW45,$AW44)</f>
        <v>KRIŠTOF Lukáš (TTC Koral Tišnov)</v>
      </c>
      <c r="BC44" s="28">
        <f>VLOOKUP(BB44,$AW44:$BA47,2,FALSE)</f>
        <v>6</v>
      </c>
      <c r="BD44" s="28">
        <f>VLOOKUP(BB44,$AW44:$BA47,5,FALSE)</f>
        <v>8</v>
      </c>
      <c r="BE44" s="28" t="str">
        <f>IF(AND($BC44=$BC46,$BD46&gt;$BD44),$BB46,$BB44)</f>
        <v>KRIŠTOF Lukáš (TTC Koral Tišnov)</v>
      </c>
      <c r="BF44" s="28">
        <f>VLOOKUP(BE44,$BB44:$BD47,2,FALSE)</f>
        <v>6</v>
      </c>
      <c r="BG44" s="28">
        <f>VLOOKUP(BE44,$BB44:$BD47,3,FALSE)</f>
        <v>8</v>
      </c>
      <c r="BH44" s="28" t="str">
        <f>IF(AND($BF44=$BF47,$BG47&gt;$BG44),$BE47,$BE44)</f>
        <v>KRIŠTOF Lukáš (TTC Koral Tišnov)</v>
      </c>
      <c r="BI44" s="28">
        <f>VLOOKUP(BH44,$BE44:$BG47,2,FALSE)</f>
        <v>6</v>
      </c>
      <c r="BJ44" s="28">
        <f>VLOOKUP(BH44,$BE44:$BG47,3,FALSE)</f>
        <v>8</v>
      </c>
      <c r="BK44" s="28">
        <f>VLOOKUP(BH44,$AJ44:$AQ47,6,FALSE)</f>
        <v>9</v>
      </c>
      <c r="BL44" s="28" t="str">
        <f>IF(AND($BI44=$BI45,$BJ44=$BJ45,$BK45&gt;$BK44),$BH45,$BH44)</f>
        <v>KRIŠTOF Lukáš (TTC Koral Tišnov)</v>
      </c>
      <c r="BM44" s="28">
        <f>VLOOKUP(BL44,$BH44:$BK47,2,FALSE)</f>
        <v>6</v>
      </c>
      <c r="BN44" s="28">
        <f>VLOOKUP(BL44,$BH44:$BK47,3,FALSE)</f>
        <v>8</v>
      </c>
      <c r="BO44" s="28">
        <f>VLOOKUP(BL44,$BH44:$BK47,4,FALSE)</f>
        <v>9</v>
      </c>
      <c r="BP44" s="28" t="str">
        <f>IF(AND($BM44=$BM46,$BN44=$BN46,$BO46&gt;$BO44),$BL46,$BL44)</f>
        <v>KRIŠTOF Lukáš (TTC Koral Tišnov)</v>
      </c>
      <c r="BQ44" s="28">
        <f>VLOOKUP(BP44,$BL44:$BO47,2,FALSE)</f>
        <v>6</v>
      </c>
      <c r="BR44" s="28">
        <f>VLOOKUP(BP44,$BL44:$BO47,3,FALSE)</f>
        <v>8</v>
      </c>
      <c r="BS44" s="28">
        <f>VLOOKUP(BP44,$BL44:$BO47,4,FALSE)</f>
        <v>9</v>
      </c>
      <c r="BT44" s="28" t="str">
        <f>IF(AND($BQ44=$BQ47,$BR44=$BR47,$BS47&gt;$BS44),$BP47,$BP44)</f>
        <v>KRIŠTOF Lukáš (TTC Koral Tišnov)</v>
      </c>
      <c r="BU44" s="28">
        <f>VLOOKUP(BT44,$BP44:$BS47,2,FALSE)</f>
        <v>6</v>
      </c>
      <c r="BV44" s="28">
        <f>VLOOKUP(BT44,$BP44:$BS47,3,FALSE)</f>
        <v>8</v>
      </c>
      <c r="BW44" s="28">
        <f>VLOOKUP(BT44,$BP44:$BS47,4,FALSE)</f>
        <v>9</v>
      </c>
      <c r="BX44" s="28" t="str">
        <f>BT44</f>
        <v>KRIŠTOF Lukáš (TTC Koral Tišnov)</v>
      </c>
      <c r="BY44" s="28">
        <f>VLOOKUP($BX44,$AJ44:$AQ47,2,FALSE)</f>
        <v>3</v>
      </c>
      <c r="BZ44" s="28">
        <f>VLOOKUP($BX44,$AJ44:$AQ47,3,FALSE)</f>
        <v>3</v>
      </c>
      <c r="CA44" s="28">
        <f>VLOOKUP($BX44,$AJ44:$AQ47,4,FALSE)</f>
        <v>0</v>
      </c>
      <c r="CB44" s="28">
        <f>VLOOKUP($BX44,$AJ44:$AQ47,5,FALSE)</f>
        <v>0</v>
      </c>
      <c r="CC44" s="28">
        <f>VLOOKUP($BX44,$AJ44:$AQ47,6,FALSE)</f>
        <v>9</v>
      </c>
      <c r="CD44" s="28">
        <f>VLOOKUP($BX44,$AJ44:$AQ47,7,FALSE)</f>
        <v>1</v>
      </c>
      <c r="CE44" s="28">
        <f>VLOOKUP($BX44,$AJ44:$AQ47,8,FALSE)</f>
        <v>6</v>
      </c>
      <c r="CF44" s="128" t="str">
        <f>CONCATENATE(CC44,":",CD44)</f>
        <v>9:1</v>
      </c>
    </row>
    <row r="45" spans="1:84" x14ac:dyDescent="0.2">
      <c r="A45" s="27" t="str">
        <f>'1-zapasy'!B36</f>
        <v>CHALÚPEK Filip (TTC MS Brno)</v>
      </c>
      <c r="B45" s="220">
        <f>'1-zapasy'!I36</f>
        <v>3</v>
      </c>
      <c r="C45" s="220" t="e">
        <f>'3-zapasy'!#REF!</f>
        <v>#REF!</v>
      </c>
      <c r="D45" s="220">
        <f>'1-zapasy'!J36</f>
        <v>0</v>
      </c>
      <c r="E45" s="27" t="str">
        <f>'1-zapasy'!C36</f>
        <v>SVOBODA Ondřej (KST Vyškov)</v>
      </c>
      <c r="F45" s="28">
        <f>COUNTBLANK('1-zapasy'!I36:'1-zapasy'!J36)</f>
        <v>0</v>
      </c>
      <c r="G45" s="28">
        <f>IF(AND(F45=0,OR($A45=$G42,$E45=$G42)),1,0)</f>
        <v>0</v>
      </c>
      <c r="H45" s="28">
        <f>IF(AND(F45=0,OR(AND($A45=$G42,$B45&gt;$D45),AND($E45=$G42,$D45&gt;$B45))),1,0)</f>
        <v>0</v>
      </c>
      <c r="I45" s="28">
        <f t="shared" si="52"/>
        <v>0</v>
      </c>
      <c r="J45" s="28">
        <f>IF(AND(F45=0,OR(AND($A45=$G42,$B45&lt;$D45),AND($E45=$G42,$D45&lt;$B45))),1,0)</f>
        <v>0</v>
      </c>
      <c r="K45" s="28">
        <f>IF(F45&gt;0,0,IF($A45=$G42,$B45,IF($E45=$G42,$D45,0)))</f>
        <v>0</v>
      </c>
      <c r="L45" s="28">
        <f>IF(F45&gt;0,0,IF($A45=$G42,$D45,IF($E45=$G42,$B45,0)))</f>
        <v>0</v>
      </c>
      <c r="M45">
        <f t="shared" si="53"/>
        <v>0</v>
      </c>
      <c r="N45">
        <f>IF(AND(F45=0,OR($A45=$N42,$E45=$N42)),1,0)</f>
        <v>0</v>
      </c>
      <c r="O45">
        <f>IF(AND(F45=0,OR(AND($A45=$N42,$B45&gt;$D45),AND($E45=$N42,$D45&gt;$B45))),1,0)</f>
        <v>0</v>
      </c>
      <c r="P45">
        <f t="shared" si="54"/>
        <v>0</v>
      </c>
      <c r="Q45">
        <f>IF(AND(F45=0,OR(AND($A45=$N42,$B45&lt;$D45),AND($E45=$N42,$D45&lt;$B45))),1,0)</f>
        <v>0</v>
      </c>
      <c r="R45">
        <f>IF(F45&gt;0,0,IF($A45=$N42,$B45,IF($E45=$N42,$D45,0)))</f>
        <v>0</v>
      </c>
      <c r="S45">
        <f>IF(F45&gt;0,0,IF($A45=$N42,$D45,IF($E45=$N42,$B45,0)))</f>
        <v>0</v>
      </c>
      <c r="T45">
        <f t="shared" si="55"/>
        <v>0</v>
      </c>
      <c r="U45">
        <f>IF(AND(F45=0,OR($A45=$U42,$E45=$U42)),1,0)</f>
        <v>1</v>
      </c>
      <c r="V45">
        <f>IF(AND(F45=0,OR(AND($A45=$U42,$B45&gt;$D45),AND($E45=$U42,$D45&gt;$B45))),1,0)</f>
        <v>1</v>
      </c>
      <c r="W45">
        <f t="shared" si="56"/>
        <v>0</v>
      </c>
      <c r="X45">
        <f>IF(AND(F45=0,OR(AND($A45=$U42,$B45&lt;$D45),AND($E45=$U42,$D45&lt;$B45))),1,0)</f>
        <v>0</v>
      </c>
      <c r="Y45">
        <f>IF(F45&gt;0,0,IF($A45=$U42,$B45,IF($E45=$U42,$D45,0)))</f>
        <v>3</v>
      </c>
      <c r="Z45">
        <f>IF(F45&gt;0,0,IF($A45=$U42,$D45,IF($E45=$U42,$B45,0)))</f>
        <v>0</v>
      </c>
      <c r="AA45">
        <f t="shared" si="57"/>
        <v>2</v>
      </c>
      <c r="AB45">
        <f>IF(AND(F45=0,OR($A45=$AB42,$E45=$AB42)),1,0)</f>
        <v>1</v>
      </c>
      <c r="AC45">
        <f>IF(AND(F45=0,OR(AND($A45=$AB42,$B45&gt;$D45),AND($E45=$AB42,$D45&gt;$B45))),1,0)</f>
        <v>0</v>
      </c>
      <c r="AD45">
        <f t="shared" si="58"/>
        <v>0</v>
      </c>
      <c r="AE45">
        <f>IF(AND(F45=0,OR(AND($A45=$AB42,$B45&lt;$D45),AND($E45=$AB42,$D45&lt;$B45))),1,0)</f>
        <v>1</v>
      </c>
      <c r="AF45">
        <f>IF(F45&gt;0,0,IF($A45=$AB42,$B45,IF($E45=$AB42,$D45,0)))</f>
        <v>0</v>
      </c>
      <c r="AG45">
        <f>IF(F45&gt;0,0,IF($A45=$AB42,$D45,IF($E45=$AB42,$B45,0)))</f>
        <v>3</v>
      </c>
      <c r="AH45">
        <f t="shared" si="59"/>
        <v>0</v>
      </c>
      <c r="AJ45" s="28" t="str">
        <f>N42</f>
        <v>HABÁŇOVÁ Michaela (KST Blansko)</v>
      </c>
      <c r="AK45" s="28">
        <f t="shared" ref="AK45:AQ45" si="61">N50</f>
        <v>3</v>
      </c>
      <c r="AL45" s="28">
        <f t="shared" si="61"/>
        <v>0</v>
      </c>
      <c r="AM45" s="28">
        <f t="shared" si="61"/>
        <v>0</v>
      </c>
      <c r="AN45" s="28">
        <f t="shared" si="61"/>
        <v>3</v>
      </c>
      <c r="AO45" s="28">
        <f t="shared" si="61"/>
        <v>0</v>
      </c>
      <c r="AP45" s="28">
        <f t="shared" si="61"/>
        <v>9</v>
      </c>
      <c r="AQ45" s="28">
        <f t="shared" si="61"/>
        <v>0</v>
      </c>
      <c r="AS45" s="28" t="str">
        <f>IF($AQ45&lt;=$AQ44,$AJ45,$AJ44)</f>
        <v>HABÁŇOVÁ Michaela (KST Blansko)</v>
      </c>
      <c r="AT45" s="28">
        <f>VLOOKUP(AS45,$AJ44:$AQ47,8,FALSE)</f>
        <v>0</v>
      </c>
      <c r="AU45" s="28" t="str">
        <f>IF($AT45&gt;=$AT47,$AS45,$AS47)</f>
        <v>SVOBODA Ondřej (KST Vyškov)</v>
      </c>
      <c r="AV45" s="28">
        <f>VLOOKUP(AU45,$AS44:$AT47,2,FALSE)</f>
        <v>2</v>
      </c>
      <c r="AW45" s="28" t="str">
        <f>IF($AV45&gt;=$AV46,$AU45,$AU46)</f>
        <v>CHALÚPEK Filip (TTC MS Brno)</v>
      </c>
      <c r="AX45" s="28">
        <f>VLOOKUP(AW45,$AU44:$AV47,2,FALSE)</f>
        <v>4</v>
      </c>
      <c r="AY45" s="28">
        <f>VLOOKUP(AW45,$AJ44:$AQ47,6,FALSE)</f>
        <v>7</v>
      </c>
      <c r="AZ45" s="28">
        <f>VLOOKUP(AW45,$AJ44:$AQ47,7,FALSE)</f>
        <v>3</v>
      </c>
      <c r="BA45" s="28">
        <f>AY45-AZ45</f>
        <v>4</v>
      </c>
      <c r="BB45" s="28" t="str">
        <f>IF(AND($AX44=$AX45,$BA45&gt;$BA44),$AW44,$AW45)</f>
        <v>CHALÚPEK Filip (TTC MS Brno)</v>
      </c>
      <c r="BC45" s="28">
        <f>VLOOKUP(BB45,$AW44:$BA47,2,FALSE)</f>
        <v>4</v>
      </c>
      <c r="BD45" s="28">
        <f>VLOOKUP(BB45,$AW44:$BA47,5,FALSE)</f>
        <v>4</v>
      </c>
      <c r="BE45" s="28" t="str">
        <f>IF(AND($BC45=$BC47,$BD47&gt;$BD45),$BB47,$BB45)</f>
        <v>CHALÚPEK Filip (TTC MS Brno)</v>
      </c>
      <c r="BF45" s="28">
        <f>VLOOKUP(BE45,$BB44:$BD47,2,FALSE)</f>
        <v>4</v>
      </c>
      <c r="BG45" s="28">
        <f>VLOOKUP(BE45,$BB44:$BD47,3,FALSE)</f>
        <v>4</v>
      </c>
      <c r="BH45" s="28" t="str">
        <f>IF(AND($BF45=$BF46,$BG46&gt;$BG45),$BE46,$BE45)</f>
        <v>CHALÚPEK Filip (TTC MS Brno)</v>
      </c>
      <c r="BI45" s="28">
        <f>VLOOKUP(BH45,$BE44:$BG47,2,FALSE)</f>
        <v>4</v>
      </c>
      <c r="BJ45" s="28">
        <f>VLOOKUP(BH45,$BE44:$BG47,3,FALSE)</f>
        <v>4</v>
      </c>
      <c r="BK45" s="28">
        <f>VLOOKUP(BH45,$AJ44:$AQ47,6,FALSE)</f>
        <v>7</v>
      </c>
      <c r="BL45" s="28" t="str">
        <f>IF(AND($BI44=$BI45,$BJ44=$BJ45,$BK45&gt;$BK44),$BH44,$BH45)</f>
        <v>CHALÚPEK Filip (TTC MS Brno)</v>
      </c>
      <c r="BM45" s="28">
        <f>VLOOKUP(BL45,$BH44:$BK47,2,FALSE)</f>
        <v>4</v>
      </c>
      <c r="BN45" s="28">
        <f>VLOOKUP(BL45,$BH44:$BK47,3,FALSE)</f>
        <v>4</v>
      </c>
      <c r="BO45" s="28">
        <f>VLOOKUP(BL45,$BH44:$BK47,4,FALSE)</f>
        <v>7</v>
      </c>
      <c r="BP45" s="28" t="str">
        <f>IF(AND($BM45=$BM47,$BN45=$BN47,$BO47&gt;$BO45),$BL47,$BL45)</f>
        <v>CHALÚPEK Filip (TTC MS Brno)</v>
      </c>
      <c r="BQ45" s="28">
        <f>VLOOKUP(BP45,$BL44:$BO47,2,FALSE)</f>
        <v>4</v>
      </c>
      <c r="BR45" s="28">
        <f>VLOOKUP(BP45,$BL44:$BO47,3,FALSE)</f>
        <v>4</v>
      </c>
      <c r="BS45" s="28">
        <f>VLOOKUP(BP45,$BL44:$BO47,4,FALSE)</f>
        <v>7</v>
      </c>
      <c r="BT45" s="28" t="str">
        <f>IF(AND($BQ45=$BQ46,$BR45=$BR46,$BS46&gt;$BS45),$BP46,$BP45)</f>
        <v>CHALÚPEK Filip (TTC MS Brno)</v>
      </c>
      <c r="BU45" s="28">
        <f>VLOOKUP(BT45,$BP44:$BS47,2,FALSE)</f>
        <v>4</v>
      </c>
      <c r="BV45" s="28">
        <f>VLOOKUP(BT45,$BP44:$BS47,3,FALSE)</f>
        <v>4</v>
      </c>
      <c r="BW45" s="28">
        <f>VLOOKUP(BT45,$BP44:$BS47,4,FALSE)</f>
        <v>7</v>
      </c>
      <c r="BX45" s="28" t="str">
        <f>BT45</f>
        <v>CHALÚPEK Filip (TTC MS Brno)</v>
      </c>
      <c r="BY45" s="28">
        <f>VLOOKUP($BX45,$AJ44:$AQ47,2,FALSE)</f>
        <v>3</v>
      </c>
      <c r="BZ45" s="28">
        <f>VLOOKUP($BX45,$AJ44:$AQ47,3,FALSE)</f>
        <v>2</v>
      </c>
      <c r="CA45" s="28">
        <f>VLOOKUP($BX45,$AJ44:$AQ47,4,FALSE)</f>
        <v>0</v>
      </c>
      <c r="CB45" s="28">
        <f>VLOOKUP($BX45,$AJ44:$AQ47,5,FALSE)</f>
        <v>1</v>
      </c>
      <c r="CC45" s="28">
        <f>VLOOKUP($BX45,$AJ44:$AQ47,6,FALSE)</f>
        <v>7</v>
      </c>
      <c r="CD45" s="28">
        <f>VLOOKUP($BX45,$AJ44:$AQ47,7,FALSE)</f>
        <v>3</v>
      </c>
      <c r="CE45" s="28">
        <f>VLOOKUP($BX45,$AJ44:$AQ47,8,FALSE)</f>
        <v>4</v>
      </c>
      <c r="CF45" s="128" t="str">
        <f>CONCATENATE(CC45,":",CD45)</f>
        <v>7:3</v>
      </c>
    </row>
    <row r="46" spans="1:84" x14ac:dyDescent="0.2">
      <c r="A46" s="27" t="str">
        <f>'1-zapasy'!B37</f>
        <v>HABÁŇOVÁ Michaela (KST Blansko)</v>
      </c>
      <c r="B46" s="220">
        <f>'1-zapasy'!I37</f>
        <v>0</v>
      </c>
      <c r="C46" s="220" t="e">
        <f>'3-zapasy'!#REF!</f>
        <v>#REF!</v>
      </c>
      <c r="D46" s="220">
        <f>'1-zapasy'!J37</f>
        <v>3</v>
      </c>
      <c r="E46" s="27" t="str">
        <f>'1-zapasy'!C37</f>
        <v>CHALÚPEK Filip (TTC MS Brno)</v>
      </c>
      <c r="F46" s="28">
        <f>COUNTBLANK('1-zapasy'!I37:'1-zapasy'!J37)</f>
        <v>0</v>
      </c>
      <c r="G46" s="28">
        <f>IF(AND(F46=0,OR($A46=$G42,$E46=$G42)),1,0)</f>
        <v>0</v>
      </c>
      <c r="H46" s="28">
        <f>IF(AND(F46=0,OR(AND($A46=$G42,$B46&gt;$D46),AND($E46=$G42,$D46&gt;$B46))),1,0)</f>
        <v>0</v>
      </c>
      <c r="I46" s="28">
        <f t="shared" si="52"/>
        <v>0</v>
      </c>
      <c r="J46" s="28">
        <f>IF(AND(F46=0,OR(AND($A46=$G42,$B46&lt;$D46),AND($E46=$G42,$D46&lt;$B46))),1,0)</f>
        <v>0</v>
      </c>
      <c r="K46" s="28">
        <f>IF(F46&gt;0,0,IF($A46=$G42,$B46,IF($E46=$G42,$D46,0)))</f>
        <v>0</v>
      </c>
      <c r="L46" s="28">
        <f>IF(F46&gt;0,0,IF($A46=$G42,$D46,IF($E46=$G42,$B46,0)))</f>
        <v>0</v>
      </c>
      <c r="M46">
        <f t="shared" si="53"/>
        <v>0</v>
      </c>
      <c r="N46">
        <f>IF(AND(F46=0,OR($A46=$N42,$E46=$N42)),1,0)</f>
        <v>1</v>
      </c>
      <c r="O46">
        <f>IF(AND(F46=0,OR(AND($A46=$N42,$B46&gt;$D46),AND($E46=$N42,$D46&gt;$B46))),1,0)</f>
        <v>0</v>
      </c>
      <c r="P46">
        <f t="shared" si="54"/>
        <v>0</v>
      </c>
      <c r="Q46">
        <f>IF(AND(F46=0,OR(AND($A46=$N42,$B46&lt;$D46),AND($E46=$N42,$D46&lt;$B46))),1,0)</f>
        <v>1</v>
      </c>
      <c r="R46">
        <f>IF(F46&gt;0,0,IF($A46=$N42,$B46,IF($E46=$N42,$D46,0)))</f>
        <v>0</v>
      </c>
      <c r="S46">
        <f>IF(F46&gt;0,0,IF($A46=$N42,$D46,IF($E46=$N42,$B46,0)))</f>
        <v>3</v>
      </c>
      <c r="T46">
        <f t="shared" si="55"/>
        <v>0</v>
      </c>
      <c r="U46">
        <f>IF(AND(F46=0,OR($A46=$U42,$E46=$U42)),1,0)</f>
        <v>1</v>
      </c>
      <c r="V46">
        <f>IF(AND(F46=0,OR(AND($A46=$U42,$B46&gt;$D46),AND($E46=$U42,$D46&gt;$B46))),1,0)</f>
        <v>1</v>
      </c>
      <c r="W46">
        <f t="shared" si="56"/>
        <v>0</v>
      </c>
      <c r="X46">
        <f>IF(AND(F46=0,OR(AND($A46=$U42,$B46&lt;$D46),AND($E46=$U42,$D46&lt;$B46))),1,0)</f>
        <v>0</v>
      </c>
      <c r="Y46">
        <f>IF(F46&gt;0,0,IF($A46=$U42,$B46,IF($E46=$U42,$D46,0)))</f>
        <v>3</v>
      </c>
      <c r="Z46">
        <f>IF(F46&gt;0,0,IF($A46=$U42,$D46,IF($E46=$U42,$B46,0)))</f>
        <v>0</v>
      </c>
      <c r="AA46">
        <f t="shared" si="57"/>
        <v>2</v>
      </c>
      <c r="AB46">
        <f>IF(AND(F46=0,OR($A46=$AB42,$E46=$AB42)),1,0)</f>
        <v>0</v>
      </c>
      <c r="AC46">
        <f>IF(AND(F46=0,OR(AND($A46=$AB42,$B46&gt;$D46),AND($E46=$AB42,$D46&gt;$B46))),1,0)</f>
        <v>0</v>
      </c>
      <c r="AD46">
        <f t="shared" si="58"/>
        <v>0</v>
      </c>
      <c r="AE46">
        <f>IF(AND(F46=0,OR(AND($A46=$AB42,$B46&lt;$D46),AND($E46=$AB42,$D46&lt;$B46))),1,0)</f>
        <v>0</v>
      </c>
      <c r="AF46">
        <f>IF(F46&gt;0,0,IF($A46=$AB42,$B46,IF($E46=$AB42,$D46,0)))</f>
        <v>0</v>
      </c>
      <c r="AG46">
        <f>IF(F46&gt;0,0,IF($A46=$AB42,$D46,IF($E46=$AB42,$B46,0)))</f>
        <v>0</v>
      </c>
      <c r="AH46">
        <f t="shared" si="59"/>
        <v>0</v>
      </c>
      <c r="AJ46" s="28" t="str">
        <f>U42</f>
        <v>CHALÚPEK Filip (TTC MS Brno)</v>
      </c>
      <c r="AK46" s="28">
        <f t="shared" ref="AK46:AQ46" si="62">U50</f>
        <v>3</v>
      </c>
      <c r="AL46" s="28">
        <f t="shared" si="62"/>
        <v>2</v>
      </c>
      <c r="AM46" s="28">
        <f t="shared" si="62"/>
        <v>0</v>
      </c>
      <c r="AN46" s="28">
        <f t="shared" si="62"/>
        <v>1</v>
      </c>
      <c r="AO46" s="28">
        <f t="shared" si="62"/>
        <v>7</v>
      </c>
      <c r="AP46" s="28">
        <f t="shared" si="62"/>
        <v>3</v>
      </c>
      <c r="AQ46" s="28">
        <f t="shared" si="62"/>
        <v>4</v>
      </c>
      <c r="AS46" s="28" t="str">
        <f>IF($AQ46&gt;=$AQ47,$AJ46,$AJ47)</f>
        <v>CHALÚPEK Filip (TTC MS Brno)</v>
      </c>
      <c r="AT46" s="28">
        <f>VLOOKUP(AS46,$AJ44:$AQ47,8,FALSE)</f>
        <v>4</v>
      </c>
      <c r="AU46" s="28" t="str">
        <f>IF($AT46&lt;=$AT44,$AS46,$AS44)</f>
        <v>CHALÚPEK Filip (TTC MS Brno)</v>
      </c>
      <c r="AV46" s="28">
        <f>VLOOKUP(AU46,$AS44:$AT47,2,FALSE)</f>
        <v>4</v>
      </c>
      <c r="AW46" s="28" t="str">
        <f>IF($AV46&lt;=$AV45,$AU46,$AU45)</f>
        <v>SVOBODA Ondřej (KST Vyškov)</v>
      </c>
      <c r="AX46" s="28">
        <f>VLOOKUP(AW46,$AU44:$AV47,2,FALSE)</f>
        <v>2</v>
      </c>
      <c r="AY46" s="28">
        <f>VLOOKUP(AW46,$AJ44:$AQ47,6,FALSE)</f>
        <v>3</v>
      </c>
      <c r="AZ46" s="28">
        <f>VLOOKUP(AW46,$AJ44:$AQ47,7,FALSE)</f>
        <v>6</v>
      </c>
      <c r="BA46" s="28">
        <f>AY46-AZ46</f>
        <v>-3</v>
      </c>
      <c r="BB46" s="28" t="str">
        <f>IF(AND($AX46=$AX47,$BA47&gt;$BA46),$AW47,$AW46)</f>
        <v>SVOBODA Ondřej (KST Vyškov)</v>
      </c>
      <c r="BC46" s="28">
        <f>VLOOKUP(BB46,$AW44:$BA47,2,FALSE)</f>
        <v>2</v>
      </c>
      <c r="BD46" s="28">
        <f>VLOOKUP(BB46,$AW44:$BA47,5,FALSE)</f>
        <v>-3</v>
      </c>
      <c r="BE46" s="28" t="str">
        <f>IF(AND($BC44=$BC46,$BD46&gt;$BD44),$BB44,$BB46)</f>
        <v>SVOBODA Ondřej (KST Vyškov)</v>
      </c>
      <c r="BF46" s="28">
        <f>VLOOKUP(BE46,$BB44:$BD47,2,FALSE)</f>
        <v>2</v>
      </c>
      <c r="BG46" s="28">
        <f>VLOOKUP(BE46,$BB44:$BD47,3,FALSE)</f>
        <v>-3</v>
      </c>
      <c r="BH46" s="28" t="str">
        <f>IF(AND($BF45=$BF46,$BG46&gt;$BG45),$BE45,$BE46)</f>
        <v>SVOBODA Ondřej (KST Vyškov)</v>
      </c>
      <c r="BI46" s="28">
        <f>VLOOKUP(BH46,$BE44:$BG47,2,FALSE)</f>
        <v>2</v>
      </c>
      <c r="BJ46" s="28">
        <f>VLOOKUP(BH46,$BE44:$BG47,3,FALSE)</f>
        <v>-3</v>
      </c>
      <c r="BK46" s="28">
        <f>VLOOKUP(BH46,$AJ44:$AQ47,6,FALSE)</f>
        <v>3</v>
      </c>
      <c r="BL46" s="28" t="str">
        <f>IF(AND($BI46=$BI47,$BJ46=$BJ47,$BK47&gt;$BK46),$BH47,$BH46)</f>
        <v>SVOBODA Ondřej (KST Vyškov)</v>
      </c>
      <c r="BM46" s="28">
        <f>VLOOKUP(BL46,$BH44:$BK47,2,FALSE)</f>
        <v>2</v>
      </c>
      <c r="BN46" s="28">
        <f>VLOOKUP(BL46,$BH44:$BK47,3,FALSE)</f>
        <v>-3</v>
      </c>
      <c r="BO46" s="28">
        <f>VLOOKUP(BL46,$BH44:$BK47,4,FALSE)</f>
        <v>3</v>
      </c>
      <c r="BP46" s="28" t="str">
        <f>IF(AND($BM44=$BM46,$BN44=$BN46,$BO46&gt;$BO44),$BL44,$BL46)</f>
        <v>SVOBODA Ondřej (KST Vyškov)</v>
      </c>
      <c r="BQ46" s="28">
        <f>VLOOKUP(BP46,$BL44:$BO47,2,FALSE)</f>
        <v>2</v>
      </c>
      <c r="BR46" s="28">
        <f>VLOOKUP(BP46,$BL44:$BO47,3,FALSE)</f>
        <v>-3</v>
      </c>
      <c r="BS46" s="28">
        <f>VLOOKUP(BP46,$BL44:$BO47,4,FALSE)</f>
        <v>3</v>
      </c>
      <c r="BT46" s="28" t="str">
        <f>IF(AND($BQ45=$BQ46,$BR45=$BR46,$BS46&gt;$BS45),$BP45,$BP46)</f>
        <v>SVOBODA Ondřej (KST Vyškov)</v>
      </c>
      <c r="BU46" s="28">
        <f>VLOOKUP(BT46,$BP44:$BS47,2,FALSE)</f>
        <v>2</v>
      </c>
      <c r="BV46" s="28">
        <f>VLOOKUP(BT46,$BP44:$BS47,3,FALSE)</f>
        <v>-3</v>
      </c>
      <c r="BW46" s="28">
        <f>VLOOKUP(BT46,$BP44:$BS47,4,FALSE)</f>
        <v>3</v>
      </c>
      <c r="BX46" s="28" t="str">
        <f>BT46</f>
        <v>SVOBODA Ondřej (KST Vyškov)</v>
      </c>
      <c r="BY46" s="28">
        <f>VLOOKUP($BX46,$AJ44:$AQ47,2,FALSE)</f>
        <v>3</v>
      </c>
      <c r="BZ46" s="28">
        <f>VLOOKUP($BX46,$AJ44:$AQ47,3,FALSE)</f>
        <v>1</v>
      </c>
      <c r="CA46" s="28">
        <f>VLOOKUP($BX46,$AJ44:$AQ47,4,FALSE)</f>
        <v>0</v>
      </c>
      <c r="CB46" s="28">
        <f>VLOOKUP($BX46,$AJ44:$AQ47,5,FALSE)</f>
        <v>2</v>
      </c>
      <c r="CC46" s="28">
        <f>VLOOKUP($BX46,$AJ44:$AQ47,6,FALSE)</f>
        <v>3</v>
      </c>
      <c r="CD46" s="28">
        <f>VLOOKUP($BX46,$AJ44:$AQ47,7,FALSE)</f>
        <v>6</v>
      </c>
      <c r="CE46" s="28">
        <f>VLOOKUP($BX46,$AJ44:$AQ47,8,FALSE)</f>
        <v>2</v>
      </c>
      <c r="CF46" s="128" t="str">
        <f>CONCATENATE(CC46,":",CD46)</f>
        <v>3:6</v>
      </c>
    </row>
    <row r="47" spans="1:84" x14ac:dyDescent="0.2">
      <c r="A47" s="27" t="str">
        <f>'1-zapasy'!B38</f>
        <v>SVOBODA Ondřej (KST Vyškov)</v>
      </c>
      <c r="B47" s="220">
        <f>'1-zapasy'!I38</f>
        <v>0</v>
      </c>
      <c r="C47" s="220" t="e">
        <f>'3-zapasy'!#REF!</f>
        <v>#REF!</v>
      </c>
      <c r="D47" s="220">
        <f>'1-zapasy'!J38</f>
        <v>3</v>
      </c>
      <c r="E47" s="27" t="str">
        <f>'1-zapasy'!C38</f>
        <v>KRIŠTOF Lukáš (TTC Koral Tišnov)</v>
      </c>
      <c r="F47" s="28">
        <f>COUNTBLANK('1-zapasy'!I38:'1-zapasy'!J38)</f>
        <v>0</v>
      </c>
      <c r="G47" s="28">
        <f>IF(AND(F47=0,OR($A47=$G42,$E47=$G42)),1,0)</f>
        <v>1</v>
      </c>
      <c r="H47" s="28">
        <f>IF(AND(F47=0,OR(AND($A47=$G42,$B47&gt;$D47),AND($E47=$G42,$D47&gt;$B47))),1,0)</f>
        <v>1</v>
      </c>
      <c r="I47" s="28">
        <f t="shared" si="52"/>
        <v>0</v>
      </c>
      <c r="J47" s="28">
        <f>IF(AND(F47=0,OR(AND($A47=$G42,$B47&lt;$D47),AND($E47=$G42,$D47&lt;$B47))),1,0)</f>
        <v>0</v>
      </c>
      <c r="K47" s="28">
        <f>IF(F47&gt;0,0,IF($A47=$G42,$B47,IF($E47=$G42,$D47,0)))</f>
        <v>3</v>
      </c>
      <c r="L47" s="28">
        <f>IF(F47&gt;0,0,IF($A47=$G42,$D47,IF($E47=$G42,$B47,0)))</f>
        <v>0</v>
      </c>
      <c r="M47">
        <f t="shared" si="53"/>
        <v>2</v>
      </c>
      <c r="N47">
        <f>IF(AND(F47=0,OR($A47=$N42,$E47=$N42)),1,0)</f>
        <v>0</v>
      </c>
      <c r="O47">
        <f>IF(AND(F47=0,OR(AND($A47=$N42,$B47&gt;$D47),AND($E47=$N42,$D47&gt;$B47))),1,0)</f>
        <v>0</v>
      </c>
      <c r="P47">
        <f t="shared" si="54"/>
        <v>0</v>
      </c>
      <c r="Q47">
        <f>IF(AND(F47=0,OR(AND($A47=$N42,$B47&lt;$D47),AND($E47=$N42,$D47&lt;$B47))),1,0)</f>
        <v>0</v>
      </c>
      <c r="R47">
        <f>IF(F47&gt;0,0,IF($A47=$N42,$B47,IF($E47=$N42,$D47,0)))</f>
        <v>0</v>
      </c>
      <c r="S47">
        <f>IF(F47&gt;0,0,IF($A47=$N42,$D47,IF($E47=$N42,$B47,0)))</f>
        <v>0</v>
      </c>
      <c r="T47">
        <f t="shared" si="55"/>
        <v>0</v>
      </c>
      <c r="U47">
        <f>IF(AND(F47=0,OR($A47=$U42,$E47=$U42)),1,0)</f>
        <v>0</v>
      </c>
      <c r="V47">
        <f>IF(AND(F47=0,OR(AND($A47=$U42,$B47&gt;$D47),AND($E47=$U42,$D47&gt;$B47))),1,0)</f>
        <v>0</v>
      </c>
      <c r="W47">
        <f t="shared" si="56"/>
        <v>0</v>
      </c>
      <c r="X47">
        <f>IF(AND(F47=0,OR(AND($A47=$U42,$B47&lt;$D47),AND($E47=$U42,$D47&lt;$B47))),1,0)</f>
        <v>0</v>
      </c>
      <c r="Y47">
        <f>IF(F47&gt;0,0,IF($A47=$U42,$B47,IF($E47=$U42,$D47,0)))</f>
        <v>0</v>
      </c>
      <c r="Z47">
        <f>IF(F47&gt;0,0,IF($A47=$U42,$D47,IF($E47=$U42,$B47,0)))</f>
        <v>0</v>
      </c>
      <c r="AA47">
        <f t="shared" si="57"/>
        <v>0</v>
      </c>
      <c r="AB47">
        <f>IF(AND(F47=0,OR($A47=$AB42,$E47=$AB42)),1,0)</f>
        <v>1</v>
      </c>
      <c r="AC47">
        <f>IF(AND(F47=0,OR(AND($A47=$AB42,$B47&gt;$D47),AND($E47=$AB42,$D47&gt;$B47))),1,0)</f>
        <v>0</v>
      </c>
      <c r="AD47">
        <f t="shared" si="58"/>
        <v>0</v>
      </c>
      <c r="AE47">
        <f>IF(AND(F47=0,OR(AND($A47=$AB42,$B47&lt;$D47),AND($E47=$AB42,$D47&lt;$B47))),1,0)</f>
        <v>1</v>
      </c>
      <c r="AF47">
        <f>IF(F47&gt;0,0,IF($A47=$AB42,$B47,IF($E47=$AB42,$D47,0)))</f>
        <v>0</v>
      </c>
      <c r="AG47">
        <f>IF(F47&gt;0,0,IF($A47=$AB42,$D47,IF($E47=$AB42,$B47,0)))</f>
        <v>3</v>
      </c>
      <c r="AH47">
        <f t="shared" si="59"/>
        <v>0</v>
      </c>
      <c r="AJ47" s="28" t="str">
        <f>AB42</f>
        <v>SVOBODA Ondřej (KST Vyškov)</v>
      </c>
      <c r="AK47" s="28">
        <f t="shared" ref="AK47:AQ47" si="63">AB50</f>
        <v>3</v>
      </c>
      <c r="AL47" s="28">
        <f t="shared" si="63"/>
        <v>1</v>
      </c>
      <c r="AM47" s="28">
        <f t="shared" si="63"/>
        <v>0</v>
      </c>
      <c r="AN47" s="28">
        <f t="shared" si="63"/>
        <v>2</v>
      </c>
      <c r="AO47" s="28">
        <f t="shared" si="63"/>
        <v>3</v>
      </c>
      <c r="AP47" s="28">
        <f t="shared" si="63"/>
        <v>6</v>
      </c>
      <c r="AQ47" s="28">
        <f t="shared" si="63"/>
        <v>2</v>
      </c>
      <c r="AS47" s="28" t="str">
        <f>IF($AQ47&lt;=$AQ46,$AJ47,$AJ46)</f>
        <v>SVOBODA Ondřej (KST Vyškov)</v>
      </c>
      <c r="AT47" s="28">
        <f>VLOOKUP(AS47,$AJ44:$AQ47,8,FALSE)</f>
        <v>2</v>
      </c>
      <c r="AU47" s="28" t="str">
        <f>IF($AT47&lt;=$AT45,$AS47,$AS45)</f>
        <v>HABÁŇOVÁ Michaela (KST Blansko)</v>
      </c>
      <c r="AV47" s="28">
        <f>VLOOKUP(AU47,$AS44:$AT47,2,FALSE)</f>
        <v>0</v>
      </c>
      <c r="AW47" s="28" t="str">
        <f>IF($AV47&lt;=$AV44,$AU47,$AU44)</f>
        <v>HABÁŇOVÁ Michaela (KST Blansko)</v>
      </c>
      <c r="AX47" s="28">
        <f>VLOOKUP(AW47,$AU44:$AV47,2,FALSE)</f>
        <v>0</v>
      </c>
      <c r="AY47" s="28">
        <f>VLOOKUP(AW47,$AJ44:$AQ47,6,FALSE)</f>
        <v>0</v>
      </c>
      <c r="AZ47" s="28">
        <f>VLOOKUP(AW47,$AJ44:$AQ47,7,FALSE)</f>
        <v>9</v>
      </c>
      <c r="BA47" s="28">
        <f>AY47-AZ47</f>
        <v>-9</v>
      </c>
      <c r="BB47" s="28" t="str">
        <f>IF(AND($AX46=$AX47,$BA47&gt;$BA46),$AW46,$AW47)</f>
        <v>HABÁŇOVÁ Michaela (KST Blansko)</v>
      </c>
      <c r="BC47" s="28">
        <f>VLOOKUP(BB47,$AW44:$BA47,2,FALSE)</f>
        <v>0</v>
      </c>
      <c r="BD47" s="28">
        <f>VLOOKUP(BB47,$AW44:$BA47,5,FALSE)</f>
        <v>-9</v>
      </c>
      <c r="BE47" s="28" t="str">
        <f>IF(AND($BC45=$BC47,$BD47&gt;$BD45),$BB45,$BB47)</f>
        <v>HABÁŇOVÁ Michaela (KST Blansko)</v>
      </c>
      <c r="BF47" s="28">
        <f>VLOOKUP(BE47,$BB44:$BD47,2,FALSE)</f>
        <v>0</v>
      </c>
      <c r="BG47" s="28">
        <f>VLOOKUP(BE47,$BB44:$BD47,3,FALSE)</f>
        <v>-9</v>
      </c>
      <c r="BH47" s="28" t="str">
        <f>IF(AND($BF44=$BF47,$BG47&gt;$BG44),$BE44,$BE47)</f>
        <v>HABÁŇOVÁ Michaela (KST Blansko)</v>
      </c>
      <c r="BI47" s="28">
        <f>VLOOKUP(BH47,$BE44:$BG47,2,FALSE)</f>
        <v>0</v>
      </c>
      <c r="BJ47" s="28">
        <f>VLOOKUP(BH47,$BE44:$BG47,3,FALSE)</f>
        <v>-9</v>
      </c>
      <c r="BK47" s="28">
        <f>VLOOKUP(BH47,$AJ44:$AQ47,6,FALSE)</f>
        <v>0</v>
      </c>
      <c r="BL47" s="28" t="str">
        <f>IF(AND($BI46=$BI47,$BJ46=$BJ47,$BK47&gt;$BK46),$BH46,$BH47)</f>
        <v>HABÁŇOVÁ Michaela (KST Blansko)</v>
      </c>
      <c r="BM47" s="28">
        <f>VLOOKUP(BL47,$BH44:$BK47,2,FALSE)</f>
        <v>0</v>
      </c>
      <c r="BN47" s="28">
        <f>VLOOKUP(BL47,$BH44:$BK47,3,FALSE)</f>
        <v>-9</v>
      </c>
      <c r="BO47" s="28">
        <f>VLOOKUP(BL47,$BH44:$BK47,4,FALSE)</f>
        <v>0</v>
      </c>
      <c r="BP47" s="28" t="str">
        <f>IF(AND($BM45=$BM47,$BN45=$BN47,$BO47&gt;$BO45),$BL45,$BL47)</f>
        <v>HABÁŇOVÁ Michaela (KST Blansko)</v>
      </c>
      <c r="BQ47" s="28">
        <f>VLOOKUP(BP47,$BL44:$BO47,2,FALSE)</f>
        <v>0</v>
      </c>
      <c r="BR47" s="28">
        <f>VLOOKUP(BP47,$BL44:$BO47,3,FALSE)</f>
        <v>-9</v>
      </c>
      <c r="BS47" s="28">
        <f>VLOOKUP(BP47,$BL44:$BO47,4,FALSE)</f>
        <v>0</v>
      </c>
      <c r="BT47" s="28" t="str">
        <f>IF(AND($BQ44=$BQ47,$BR44=$BR47,$BS47&gt;$BS44),$BP44,$BP47)</f>
        <v>HABÁŇOVÁ Michaela (KST Blansko)</v>
      </c>
      <c r="BU47" s="28">
        <f>VLOOKUP(BT47,$BP44:$BS47,2,FALSE)</f>
        <v>0</v>
      </c>
      <c r="BV47" s="28">
        <f>VLOOKUP(BT47,$BP44:$BS47,3,FALSE)</f>
        <v>-9</v>
      </c>
      <c r="BW47" s="28">
        <f>VLOOKUP(BT47,$BP44:$BS47,4,FALSE)</f>
        <v>0</v>
      </c>
      <c r="BX47" s="28" t="str">
        <f>BT47</f>
        <v>HABÁŇOVÁ Michaela (KST Blansko)</v>
      </c>
      <c r="BY47" s="28">
        <f>VLOOKUP($BX47,$AJ44:$AQ47,2,FALSE)</f>
        <v>3</v>
      </c>
      <c r="BZ47" s="28">
        <f>VLOOKUP($BX47,$AJ44:$AQ47,3,FALSE)</f>
        <v>0</v>
      </c>
      <c r="CA47" s="28">
        <f>VLOOKUP($BX47,$AJ44:$AQ47,4,FALSE)</f>
        <v>0</v>
      </c>
      <c r="CB47" s="28">
        <f>VLOOKUP($BX47,$AJ44:$AQ47,5,FALSE)</f>
        <v>3</v>
      </c>
      <c r="CC47" s="28">
        <f>VLOOKUP($BX47,$AJ44:$AQ47,6,FALSE)</f>
        <v>0</v>
      </c>
      <c r="CD47" s="28">
        <f>VLOOKUP($BX47,$AJ44:$AQ47,7,FALSE)</f>
        <v>9</v>
      </c>
      <c r="CE47" s="28">
        <f>VLOOKUP($BX47,$AJ44:$AQ47,8,FALSE)</f>
        <v>0</v>
      </c>
      <c r="CF47" s="128" t="str">
        <f>CONCATENATE(CC47,":",CD47)</f>
        <v>0:9</v>
      </c>
    </row>
    <row r="48" spans="1:84" x14ac:dyDescent="0.2">
      <c r="A48" s="27" t="str">
        <f>'1-zapasy'!B39</f>
        <v>SVOBODA Ondřej (KST Vyškov)</v>
      </c>
      <c r="B48" s="220">
        <f>'1-zapasy'!I39</f>
        <v>3</v>
      </c>
      <c r="C48" s="220" t="e">
        <f>'3-zapasy'!#REF!</f>
        <v>#REF!</v>
      </c>
      <c r="D48" s="220">
        <f>'1-zapasy'!J39</f>
        <v>0</v>
      </c>
      <c r="E48" s="27" t="str">
        <f>'1-zapasy'!C39</f>
        <v>HABÁŇOVÁ Michaela (KST Blansko)</v>
      </c>
      <c r="F48" s="28">
        <f>COUNTBLANK('1-zapasy'!I39:'1-zapasy'!J39)</f>
        <v>0</v>
      </c>
      <c r="G48" s="28">
        <f>IF(AND(F48=0,OR($A48=$G42,$E48=$G42)),1,0)</f>
        <v>0</v>
      </c>
      <c r="H48" s="28">
        <f>IF(AND(F48=0,OR(AND($A48=$G42,$B48&gt;$D48),AND($E48=$G42,$D48&gt;$B48))),1,0)</f>
        <v>0</v>
      </c>
      <c r="I48" s="28">
        <f t="shared" si="52"/>
        <v>0</v>
      </c>
      <c r="J48" s="28">
        <f>IF(AND(F48=0,OR(AND($A48=$G42,$B48&lt;$D48),AND($E48=$G42,$D48&lt;$B48))),1,0)</f>
        <v>0</v>
      </c>
      <c r="K48" s="28">
        <f>IF(F48&gt;0,0,IF($A48=$G42,$B48,IF($E48=$G42,$D48,0)))</f>
        <v>0</v>
      </c>
      <c r="L48" s="28">
        <f>IF(F48&gt;0,0,IF($A48=$G42,$D48,IF($E48=$G42,$B48,0)))</f>
        <v>0</v>
      </c>
      <c r="M48">
        <f t="shared" si="53"/>
        <v>0</v>
      </c>
      <c r="N48">
        <f>IF(AND(F48=0,OR($A48=$N42,$E48=$N42)),1,0)</f>
        <v>1</v>
      </c>
      <c r="O48">
        <f>IF(AND(F48=0,OR(AND($A48=$N42,$B48&gt;$D48),AND($E48=$N42,$D48&gt;$B48))),1,0)</f>
        <v>0</v>
      </c>
      <c r="P48">
        <f t="shared" si="54"/>
        <v>0</v>
      </c>
      <c r="Q48">
        <f>IF(AND(F48=0,OR(AND($A48=$N42,$B48&lt;$D48),AND($E48=$N42,$D48&lt;$B48))),1,0)</f>
        <v>1</v>
      </c>
      <c r="R48">
        <f>IF(F48&gt;0,0,IF($A48=$N42,$B48,IF($E48=$N42,$D48,0)))</f>
        <v>0</v>
      </c>
      <c r="S48">
        <f>IF(F48&gt;0,0,IF($A48=$N42,$D48,IF($E48=$N42,$B48,0)))</f>
        <v>3</v>
      </c>
      <c r="T48">
        <f t="shared" si="55"/>
        <v>0</v>
      </c>
      <c r="U48">
        <f>IF(AND(F48=0,OR($A48=$U42,$E48=$U42)),1,0)</f>
        <v>0</v>
      </c>
      <c r="V48">
        <f>IF(AND(F48=0,OR(AND($A48=$U42,$B48&gt;$D48),AND($E48=$U42,$D48&gt;$B48))),1,0)</f>
        <v>0</v>
      </c>
      <c r="W48">
        <f t="shared" si="56"/>
        <v>0</v>
      </c>
      <c r="X48">
        <f>IF(AND(F48=0,OR(AND($A48=$U42,$B48&lt;$D48),AND($E48=$U42,$D48&lt;$B48))),1,0)</f>
        <v>0</v>
      </c>
      <c r="Y48">
        <f>IF(F48&gt;0,0,IF($A48=$U42,$B48,IF($E48=$U42,$D48,0)))</f>
        <v>0</v>
      </c>
      <c r="Z48">
        <f>IF(F48&gt;0,0,IF($A48=$U42,$D48,IF($E48=$U42,$B48,0)))</f>
        <v>0</v>
      </c>
      <c r="AA48">
        <f t="shared" si="57"/>
        <v>0</v>
      </c>
      <c r="AB48">
        <f>IF(AND(F48=0,OR($A48=$AB42,$E48=$AB42)),1,0)</f>
        <v>1</v>
      </c>
      <c r="AC48">
        <f>IF(AND(F48=0,OR(AND($A48=$AB42,$B48&gt;$D48),AND($E48=$AB42,$D48&gt;$B48))),1,0)</f>
        <v>1</v>
      </c>
      <c r="AD48">
        <f t="shared" si="58"/>
        <v>0</v>
      </c>
      <c r="AE48">
        <f>IF(AND(F48=0,OR(AND($A48=$AB42,$B48&lt;$D48),AND($E48=$AB42,$D48&lt;$B48))),1,0)</f>
        <v>0</v>
      </c>
      <c r="AF48">
        <f>IF(F48&gt;0,0,IF($A48=$AB42,$B48,IF($E48=$AB42,$D48,0)))</f>
        <v>3</v>
      </c>
      <c r="AG48">
        <f>IF(F48&gt;0,0,IF($A48=$AB42,$D48,IF($E48=$AB42,$B48,0)))</f>
        <v>0</v>
      </c>
      <c r="AH48">
        <f t="shared" si="59"/>
        <v>2</v>
      </c>
    </row>
    <row r="49" spans="1:84" x14ac:dyDescent="0.2">
      <c r="A49" s="27" t="str">
        <f>'1-zapasy'!B40</f>
        <v>KRIŠTOF Lukáš (TTC Koral Tišnov)</v>
      </c>
      <c r="B49" s="220">
        <f>'1-zapasy'!I40</f>
        <v>3</v>
      </c>
      <c r="C49" s="220" t="e">
        <f>'3-zapasy'!#REF!</f>
        <v>#REF!</v>
      </c>
      <c r="D49" s="220">
        <f>'1-zapasy'!J40</f>
        <v>1</v>
      </c>
      <c r="E49" s="27" t="str">
        <f>'1-zapasy'!C40</f>
        <v>CHALÚPEK Filip (TTC MS Brno)</v>
      </c>
      <c r="F49" s="28">
        <f>COUNTBLANK('1-zapasy'!I40:'1-zapasy'!J40)</f>
        <v>0</v>
      </c>
      <c r="G49" s="28">
        <f>IF(AND(F49=0,OR($A49=$G42,$E49=$G42)),1,0)</f>
        <v>1</v>
      </c>
      <c r="H49" s="28">
        <f>IF(AND(F49=0,OR(AND($A49=$G42,$B49&gt;$D49),AND($E49=$G42,$D49&gt;$B49))),1,0)</f>
        <v>1</v>
      </c>
      <c r="I49" s="28">
        <f t="shared" si="52"/>
        <v>0</v>
      </c>
      <c r="J49" s="28">
        <f>IF(AND(F49=0,OR(AND($A49=$G42,$B49&lt;$D49),AND($E49=$G42,$D49&lt;$B49))),1,0)</f>
        <v>0</v>
      </c>
      <c r="K49" s="28">
        <f>IF(F49&gt;0,0,IF($A49=$G42,$B49,IF($E49=$G42,$D49,0)))</f>
        <v>3</v>
      </c>
      <c r="L49" s="28">
        <f>IF(F49&gt;0,0,IF($A49=$G42,$D49,IF($E49=$G42,$B49,0)))</f>
        <v>1</v>
      </c>
      <c r="M49">
        <f t="shared" si="53"/>
        <v>2</v>
      </c>
      <c r="N49">
        <f>IF(AND(F49=0,OR($A49=$N42,$E49=$N42)),1,0)</f>
        <v>0</v>
      </c>
      <c r="O49">
        <f>IF(AND(F49=0,OR(AND($A49=$N42,$B49&gt;$D49),AND($E49=$N42,$D49&gt;$B49))),1,0)</f>
        <v>0</v>
      </c>
      <c r="P49">
        <f t="shared" si="54"/>
        <v>0</v>
      </c>
      <c r="Q49">
        <f>IF(AND(F49=0,OR(AND($A49=$N42,$B49&lt;$D49),AND($E49=$N42,$D49&lt;$B49))),1,0)</f>
        <v>0</v>
      </c>
      <c r="R49">
        <f>IF(F49&gt;0,0,IF($A49=$N42,$B49,IF($E49=$N42,$D49,0)))</f>
        <v>0</v>
      </c>
      <c r="S49">
        <f>IF(F49&gt;0,0,IF($A49=$N42,$D49,IF($E49=$N42,$B49,0)))</f>
        <v>0</v>
      </c>
      <c r="T49">
        <f t="shared" si="55"/>
        <v>0</v>
      </c>
      <c r="U49">
        <f>IF(AND(F49=0,OR($A49=$U42,$E49=$U42)),1,0)</f>
        <v>1</v>
      </c>
      <c r="V49">
        <f>IF(AND(F49=0,OR(AND($A49=$U42,$B49&gt;$D49),AND($E49=$U42,$D49&gt;$B49))),1,0)</f>
        <v>0</v>
      </c>
      <c r="W49">
        <f t="shared" si="56"/>
        <v>0</v>
      </c>
      <c r="X49">
        <f>IF(AND(F49=0,OR(AND($A49=$U42,$B49&lt;$D49),AND($E49=$U42,$D49&lt;$B49))),1,0)</f>
        <v>1</v>
      </c>
      <c r="Y49">
        <f>IF(F49&gt;0,0,IF($A49=$U42,$B49,IF($E49=$U42,$D49,0)))</f>
        <v>1</v>
      </c>
      <c r="Z49">
        <f>IF(F49&gt;0,0,IF($A49=$U42,$D49,IF($E49=$U42,$B49,0)))</f>
        <v>3</v>
      </c>
      <c r="AA49">
        <f t="shared" si="57"/>
        <v>0</v>
      </c>
      <c r="AB49">
        <f>IF(AND(F49=0,OR($A49=$AB42,$E49=$AB42)),1,0)</f>
        <v>0</v>
      </c>
      <c r="AC49">
        <f>IF(AND(F49=0,OR(AND($A49=$AB42,$B49&gt;$D49),AND($E49=$AB42,$D49&gt;$B49))),1,0)</f>
        <v>0</v>
      </c>
      <c r="AD49">
        <f t="shared" si="58"/>
        <v>0</v>
      </c>
      <c r="AE49">
        <f>IF(AND(F49=0,OR(AND($A49=$AB42,$B49&lt;$D49),AND($E49=$AB42,$D49&lt;$B49))),1,0)</f>
        <v>0</v>
      </c>
      <c r="AF49">
        <f>IF(F49&gt;0,0,IF($A49=$AB42,$B49,IF($E49=$AB42,$D49,0)))</f>
        <v>0</v>
      </c>
      <c r="AG49">
        <f>IF(F49&gt;0,0,IF($A49=$AB42,$D49,IF($E49=$AB42,$B49,0)))</f>
        <v>0</v>
      </c>
      <c r="AH49">
        <f t="shared" si="59"/>
        <v>0</v>
      </c>
    </row>
    <row r="50" spans="1:84" x14ac:dyDescent="0.2">
      <c r="G50" s="28">
        <f t="shared" ref="G50:AH50" si="64">SUM(G44:G49)</f>
        <v>3</v>
      </c>
      <c r="H50" s="28">
        <f t="shared" si="64"/>
        <v>3</v>
      </c>
      <c r="I50" s="28">
        <f t="shared" si="64"/>
        <v>0</v>
      </c>
      <c r="J50" s="28">
        <f t="shared" si="64"/>
        <v>0</v>
      </c>
      <c r="K50" s="28">
        <f t="shared" si="64"/>
        <v>9</v>
      </c>
      <c r="L50" s="28">
        <f t="shared" si="64"/>
        <v>1</v>
      </c>
      <c r="M50">
        <f t="shared" si="64"/>
        <v>6</v>
      </c>
      <c r="N50">
        <f t="shared" si="64"/>
        <v>3</v>
      </c>
      <c r="O50">
        <f t="shared" si="64"/>
        <v>0</v>
      </c>
      <c r="P50">
        <f t="shared" si="64"/>
        <v>0</v>
      </c>
      <c r="Q50">
        <f t="shared" si="64"/>
        <v>3</v>
      </c>
      <c r="R50">
        <f t="shared" si="64"/>
        <v>0</v>
      </c>
      <c r="S50">
        <f t="shared" si="64"/>
        <v>9</v>
      </c>
      <c r="T50">
        <f t="shared" si="64"/>
        <v>0</v>
      </c>
      <c r="U50">
        <f t="shared" si="64"/>
        <v>3</v>
      </c>
      <c r="V50">
        <f t="shared" si="64"/>
        <v>2</v>
      </c>
      <c r="W50">
        <f t="shared" si="64"/>
        <v>0</v>
      </c>
      <c r="X50">
        <f t="shared" si="64"/>
        <v>1</v>
      </c>
      <c r="Y50">
        <f t="shared" si="64"/>
        <v>7</v>
      </c>
      <c r="Z50">
        <f t="shared" si="64"/>
        <v>3</v>
      </c>
      <c r="AA50">
        <f t="shared" si="64"/>
        <v>4</v>
      </c>
      <c r="AB50">
        <f t="shared" si="64"/>
        <v>3</v>
      </c>
      <c r="AC50">
        <f t="shared" si="64"/>
        <v>1</v>
      </c>
      <c r="AD50">
        <f t="shared" si="64"/>
        <v>0</v>
      </c>
      <c r="AE50">
        <f t="shared" si="64"/>
        <v>2</v>
      </c>
      <c r="AF50">
        <f t="shared" si="64"/>
        <v>3</v>
      </c>
      <c r="AG50">
        <f t="shared" si="64"/>
        <v>6</v>
      </c>
      <c r="AH50">
        <f t="shared" si="64"/>
        <v>2</v>
      </c>
    </row>
    <row r="52" spans="1:84" x14ac:dyDescent="0.2">
      <c r="A52" s="463" t="str">
        <f>'1-zapasy'!A41</f>
        <v>skupina A6</v>
      </c>
      <c r="B52" s="464"/>
      <c r="C52" s="464"/>
      <c r="D52" s="464"/>
      <c r="E52" s="464"/>
      <c r="F52" s="28" t="s">
        <v>67</v>
      </c>
      <c r="G52" s="465" t="str">
        <f>A54</f>
        <v>BUK Lukáš (TTC MS Brno)</v>
      </c>
      <c r="H52" s="465"/>
      <c r="I52" s="465"/>
      <c r="J52" s="465"/>
      <c r="K52" s="465"/>
      <c r="L52" s="465"/>
      <c r="M52" s="465"/>
      <c r="N52" s="465" t="str">
        <f>E54</f>
        <v>DREITS Anastasiia (TTC Koral Tišnov)</v>
      </c>
      <c r="O52" s="465"/>
      <c r="P52" s="465"/>
      <c r="Q52" s="465"/>
      <c r="R52" s="465"/>
      <c r="S52" s="465"/>
      <c r="T52" s="465"/>
      <c r="U52" s="465" t="str">
        <f>A55</f>
        <v>MAZALOVÁ Kristýna (KST Blansko)</v>
      </c>
      <c r="V52" s="465"/>
      <c r="W52" s="465"/>
      <c r="X52" s="465"/>
      <c r="Y52" s="465"/>
      <c r="Z52" s="465"/>
      <c r="AA52" s="465"/>
      <c r="AB52" s="465" t="str">
        <f>E55</f>
        <v>NOVOTNÁ Eliška (SKST Hodonín)</v>
      </c>
      <c r="AC52" s="465"/>
      <c r="AD52" s="465"/>
      <c r="AE52" s="465"/>
      <c r="AF52" s="465"/>
      <c r="AG52" s="465"/>
      <c r="AH52" s="465"/>
      <c r="AJ52" s="465" t="s">
        <v>68</v>
      </c>
      <c r="AK52" s="465"/>
      <c r="AL52" s="465"/>
      <c r="AM52" s="465"/>
      <c r="AN52" s="465"/>
      <c r="AO52" s="465"/>
      <c r="AP52" s="465"/>
      <c r="AQ52" s="465"/>
      <c r="BX52" s="28" t="s">
        <v>69</v>
      </c>
    </row>
    <row r="53" spans="1:84" x14ac:dyDescent="0.2">
      <c r="A53" s="464"/>
      <c r="B53" s="464"/>
      <c r="C53" s="464"/>
      <c r="D53" s="464"/>
      <c r="E53" s="464"/>
      <c r="F53" s="28" t="s">
        <v>70</v>
      </c>
      <c r="G53" s="28" t="s">
        <v>71</v>
      </c>
      <c r="H53" s="28" t="s">
        <v>72</v>
      </c>
      <c r="I53" s="28" t="s">
        <v>73</v>
      </c>
      <c r="J53" s="28" t="s">
        <v>74</v>
      </c>
      <c r="K53" s="28" t="s">
        <v>75</v>
      </c>
      <c r="L53" s="28" t="s">
        <v>76</v>
      </c>
      <c r="M53" s="28" t="s">
        <v>77</v>
      </c>
      <c r="N53" s="28" t="s">
        <v>71</v>
      </c>
      <c r="O53" s="28" t="s">
        <v>72</v>
      </c>
      <c r="P53" s="28" t="s">
        <v>73</v>
      </c>
      <c r="Q53" s="28" t="s">
        <v>74</v>
      </c>
      <c r="R53" s="28" t="s">
        <v>75</v>
      </c>
      <c r="S53" s="28" t="s">
        <v>76</v>
      </c>
      <c r="T53" s="28" t="s">
        <v>77</v>
      </c>
      <c r="U53" s="28" t="s">
        <v>71</v>
      </c>
      <c r="V53" s="28" t="s">
        <v>72</v>
      </c>
      <c r="W53" s="28" t="s">
        <v>73</v>
      </c>
      <c r="X53" s="28" t="s">
        <v>74</v>
      </c>
      <c r="Y53" s="28" t="s">
        <v>75</v>
      </c>
      <c r="Z53" s="28" t="s">
        <v>76</v>
      </c>
      <c r="AA53" s="28" t="s">
        <v>77</v>
      </c>
      <c r="AB53" s="28" t="s">
        <v>71</v>
      </c>
      <c r="AC53" s="28" t="s">
        <v>72</v>
      </c>
      <c r="AD53" s="28" t="s">
        <v>73</v>
      </c>
      <c r="AE53" s="28" t="s">
        <v>74</v>
      </c>
      <c r="AF53" s="28" t="s">
        <v>75</v>
      </c>
      <c r="AG53" s="28" t="s">
        <v>76</v>
      </c>
      <c r="AH53" s="28" t="s">
        <v>77</v>
      </c>
      <c r="AK53" s="28" t="s">
        <v>71</v>
      </c>
      <c r="AL53" s="28" t="s">
        <v>72</v>
      </c>
      <c r="AM53" s="28" t="s">
        <v>73</v>
      </c>
      <c r="AN53" s="28" t="s">
        <v>74</v>
      </c>
      <c r="AO53" s="28" t="s">
        <v>75</v>
      </c>
      <c r="AP53" s="28" t="s">
        <v>76</v>
      </c>
      <c r="AQ53" s="28" t="s">
        <v>77</v>
      </c>
      <c r="AS53" s="28" t="s">
        <v>78</v>
      </c>
      <c r="AU53" s="28" t="s">
        <v>79</v>
      </c>
      <c r="AW53" s="28" t="s">
        <v>80</v>
      </c>
      <c r="AY53" s="28" t="s">
        <v>81</v>
      </c>
      <c r="BB53" s="28" t="s">
        <v>82</v>
      </c>
      <c r="BE53" s="28" t="s">
        <v>83</v>
      </c>
      <c r="BH53" s="28" t="s">
        <v>84</v>
      </c>
      <c r="BK53" s="28" t="s">
        <v>85</v>
      </c>
      <c r="BL53" s="28" t="s">
        <v>86</v>
      </c>
      <c r="BP53" s="28" t="s">
        <v>87</v>
      </c>
      <c r="BT53" s="28" t="s">
        <v>88</v>
      </c>
      <c r="BY53" s="28" t="s">
        <v>65</v>
      </c>
      <c r="BZ53" s="28" t="s">
        <v>89</v>
      </c>
      <c r="CA53" s="28" t="s">
        <v>58</v>
      </c>
      <c r="CB53" s="28" t="s">
        <v>90</v>
      </c>
      <c r="CC53" s="28" t="s">
        <v>51</v>
      </c>
      <c r="CD53" s="28" t="s">
        <v>53</v>
      </c>
      <c r="CE53" s="28" t="s">
        <v>91</v>
      </c>
    </row>
    <row r="54" spans="1:84" x14ac:dyDescent="0.2">
      <c r="A54" s="27" t="str">
        <f>'1-zapasy'!B43</f>
        <v>BUK Lukáš (TTC MS Brno)</v>
      </c>
      <c r="B54" s="220">
        <f>'1-zapasy'!I43</f>
        <v>3</v>
      </c>
      <c r="C54" s="220" t="e">
        <f>'3-zapasy'!#REF!</f>
        <v>#REF!</v>
      </c>
      <c r="D54" s="220">
        <f>'1-zapasy'!J43</f>
        <v>0</v>
      </c>
      <c r="E54" s="27" t="str">
        <f>'1-zapasy'!C43</f>
        <v>DREITS Anastasiia (TTC Koral Tišnov)</v>
      </c>
      <c r="F54" s="28">
        <f>COUNTBLANK('1-zapasy'!I43:'1-zapasy'!J43)</f>
        <v>0</v>
      </c>
      <c r="G54" s="28">
        <f>IF(AND(F54=0,OR($A54=$G52,$E54=$G52)),1,0)</f>
        <v>1</v>
      </c>
      <c r="H54" s="28">
        <f>IF(AND(F54=0,OR(AND($A54=$G52,$B54&gt;$D54),AND($E54=$G52,$D54&gt;$B54))),1,0)</f>
        <v>1</v>
      </c>
      <c r="I54" s="28">
        <f t="shared" ref="I54:I59" si="65">IF(AND(F54=0,G54=1,$B54=$D54),1,0)</f>
        <v>0</v>
      </c>
      <c r="J54" s="28">
        <f>IF(AND(F54=0,OR(AND($A54=$G52,$B54&lt;$D54),AND($E54=$G52,$D54&lt;$B54))),1,0)</f>
        <v>0</v>
      </c>
      <c r="K54" s="28">
        <f>IF(F54&gt;0,0,IF($A54=$G52,$B54,IF($E54=$G52,$D54,0)))</f>
        <v>3</v>
      </c>
      <c r="L54" s="28">
        <f>IF(F54&gt;0,0,IF($A54=$G52,$D54,IF($E54=$G52,$B54,0)))</f>
        <v>0</v>
      </c>
      <c r="M54">
        <f t="shared" ref="M54:M59" si="66">(($H54*$B$10)+$I54)</f>
        <v>2</v>
      </c>
      <c r="N54">
        <f>IF(AND(F54=0,OR($A54=$N52,$E54=$N52)),1,0)</f>
        <v>1</v>
      </c>
      <c r="O54">
        <f>IF(AND(F54=0,OR(AND($A54=$N52,$B54&gt;$D54),AND($E54=$N52,$D54&gt;$B54))),1,0)</f>
        <v>0</v>
      </c>
      <c r="P54">
        <f t="shared" ref="P54:P59" si="67">IF(AND(F54=0,N54=1,$B54=$D54),1,0)</f>
        <v>0</v>
      </c>
      <c r="Q54">
        <f>IF(AND(F54=0,OR(AND($A54=$N52,$B54&lt;$D54),AND($E54=$N52,$D54&lt;$B54))),1,0)</f>
        <v>1</v>
      </c>
      <c r="R54">
        <f>IF(F54&gt;0,0,IF($A54=$N52,$B54,IF($E54=$N52,$D54,0)))</f>
        <v>0</v>
      </c>
      <c r="S54">
        <f>IF(F54&gt;0,0,IF($A54=$N52,$D54,IF($E54=$N52,$B54,0)))</f>
        <v>3</v>
      </c>
      <c r="T54">
        <f t="shared" ref="T54:T59" si="68">(($O54*$B$10)+$P54)</f>
        <v>0</v>
      </c>
      <c r="U54">
        <f>IF(AND(F54=0,OR($A54=$U52,$E54=$U52)),1,0)</f>
        <v>0</v>
      </c>
      <c r="V54">
        <f>IF(AND(F54=0,OR(AND($A54=$U52,$B54&gt;$D54),AND($E54=$U52,$D54&gt;$B54))),1,0)</f>
        <v>0</v>
      </c>
      <c r="W54">
        <f t="shared" ref="W54:W59" si="69">IF(AND(F54=0,U54=1,$B54=$D54),1,0)</f>
        <v>0</v>
      </c>
      <c r="X54">
        <f>IF(AND(F54=0,OR(AND($A54=$U52,$B54&lt;$D54),AND($E54=$U52,$D54&lt;$B54))),1,0)</f>
        <v>0</v>
      </c>
      <c r="Y54">
        <f>IF(F54&gt;0,0,IF($A54=$U52,$B54,IF($E54=$U52,$D54,0)))</f>
        <v>0</v>
      </c>
      <c r="Z54">
        <f>IF(F54&gt;0,0,IF($A54=$U52,$D54,IF($E54=$U52,$B54,0)))</f>
        <v>0</v>
      </c>
      <c r="AA54">
        <f t="shared" ref="AA54:AA59" si="70">(($V54*$B$10)+$W54)</f>
        <v>0</v>
      </c>
      <c r="AB54">
        <f>IF(AND(F54=0,OR($A54=$AB52,$E54=$AB52)),1,0)</f>
        <v>0</v>
      </c>
      <c r="AC54">
        <f>IF(AND(F54=0,OR(AND($A54=$AB52,$B54&gt;$D54),AND($E54=$AB52,$D54&gt;$B54))),1,0)</f>
        <v>0</v>
      </c>
      <c r="AD54">
        <f t="shared" ref="AD54:AD59" si="71">IF(AND(F54=0,AB54=1,$B54=$D54),1,0)</f>
        <v>0</v>
      </c>
      <c r="AE54">
        <f>IF(AND(F54=0,OR(AND($A54=$AB52,$B54&lt;$D54),AND($E54=$AB52,$D54&lt;$B54))),1,0)</f>
        <v>0</v>
      </c>
      <c r="AF54">
        <f>IF(F54&gt;0,0,IF($A54=$AB52,$B54,IF($E54=$AB52,$D54,0)))</f>
        <v>0</v>
      </c>
      <c r="AG54">
        <f>IF(F54&gt;0,0,IF($A54=$AB52,$D54,IF($E54=$AB52,$B54,0)))</f>
        <v>0</v>
      </c>
      <c r="AH54">
        <f t="shared" ref="AH54:AH59" si="72">(($AC54*$B$10)+$AD54)</f>
        <v>0</v>
      </c>
      <c r="AJ54" s="28" t="str">
        <f>G52</f>
        <v>BUK Lukáš (TTC MS Brno)</v>
      </c>
      <c r="AK54" s="28">
        <f t="shared" ref="AK54:AQ54" si="73">G60</f>
        <v>3</v>
      </c>
      <c r="AL54" s="28">
        <f t="shared" si="73"/>
        <v>3</v>
      </c>
      <c r="AM54" s="28">
        <f t="shared" si="73"/>
        <v>0</v>
      </c>
      <c r="AN54" s="28">
        <f t="shared" si="73"/>
        <v>0</v>
      </c>
      <c r="AO54" s="28">
        <f t="shared" si="73"/>
        <v>9</v>
      </c>
      <c r="AP54" s="28">
        <f t="shared" si="73"/>
        <v>0</v>
      </c>
      <c r="AQ54" s="28">
        <f t="shared" si="73"/>
        <v>6</v>
      </c>
      <c r="AS54" s="28" t="str">
        <f>IF($AQ54&gt;=$AQ55,$AJ54,$AJ55)</f>
        <v>BUK Lukáš (TTC MS Brno)</v>
      </c>
      <c r="AT54" s="28">
        <f>VLOOKUP(AS54,$AJ54:$AQ57,8,FALSE)</f>
        <v>6</v>
      </c>
      <c r="AU54" s="28" t="str">
        <f>IF($AT54&gt;=$AT56,$AS54,$AS56)</f>
        <v>BUK Lukáš (TTC MS Brno)</v>
      </c>
      <c r="AV54" s="28">
        <f>VLOOKUP(AU54,$AS54:$AT57,2,FALSE)</f>
        <v>6</v>
      </c>
      <c r="AW54" s="28" t="str">
        <f>IF($AV54&gt;=$AV57,$AU54,$AU57)</f>
        <v>BUK Lukáš (TTC MS Brno)</v>
      </c>
      <c r="AX54" s="28">
        <f>VLOOKUP(AW54,$AU54:$AV57,2,FALSE)</f>
        <v>6</v>
      </c>
      <c r="AY54" s="28">
        <f>VLOOKUP(AW54,$AJ54:$AQ57,6,FALSE)</f>
        <v>9</v>
      </c>
      <c r="AZ54" s="28">
        <f>VLOOKUP(AW54,$AJ54:$AQ57,7,FALSE)</f>
        <v>0</v>
      </c>
      <c r="BA54" s="28">
        <f>AY54-AZ54</f>
        <v>9</v>
      </c>
      <c r="BB54" s="28" t="str">
        <f>IF(AND($AX54=$AX55,$BA55&gt;$BA54),$AW55,$AW54)</f>
        <v>BUK Lukáš (TTC MS Brno)</v>
      </c>
      <c r="BC54" s="28">
        <f>VLOOKUP(BB54,$AW54:$BA57,2,FALSE)</f>
        <v>6</v>
      </c>
      <c r="BD54" s="28">
        <f>VLOOKUP(BB54,$AW54:$BA57,5,FALSE)</f>
        <v>9</v>
      </c>
      <c r="BE54" s="28" t="str">
        <f>IF(AND($BC54=$BC56,$BD56&gt;$BD54),$BB56,$BB54)</f>
        <v>BUK Lukáš (TTC MS Brno)</v>
      </c>
      <c r="BF54" s="28">
        <f>VLOOKUP(BE54,$BB54:$BD57,2,FALSE)</f>
        <v>6</v>
      </c>
      <c r="BG54" s="28">
        <f>VLOOKUP(BE54,$BB54:$BD57,3,FALSE)</f>
        <v>9</v>
      </c>
      <c r="BH54" s="28" t="str">
        <f>IF(AND($BF54=$BF57,$BG57&gt;$BG54),$BE57,$BE54)</f>
        <v>BUK Lukáš (TTC MS Brno)</v>
      </c>
      <c r="BI54" s="28">
        <f>VLOOKUP(BH54,$BE54:$BG57,2,FALSE)</f>
        <v>6</v>
      </c>
      <c r="BJ54" s="28">
        <f>VLOOKUP(BH54,$BE54:$BG57,3,FALSE)</f>
        <v>9</v>
      </c>
      <c r="BK54" s="28">
        <f>VLOOKUP(BH54,$AJ54:$AQ57,6,FALSE)</f>
        <v>9</v>
      </c>
      <c r="BL54" s="28" t="str">
        <f>IF(AND($BI54=$BI55,$BJ54=$BJ55,$BK55&gt;$BK54),$BH55,$BH54)</f>
        <v>BUK Lukáš (TTC MS Brno)</v>
      </c>
      <c r="BM54" s="28">
        <f>VLOOKUP(BL54,$BH54:$BK57,2,FALSE)</f>
        <v>6</v>
      </c>
      <c r="BN54" s="28">
        <f>VLOOKUP(BL54,$BH54:$BK57,3,FALSE)</f>
        <v>9</v>
      </c>
      <c r="BO54" s="28">
        <f>VLOOKUP(BL54,$BH54:$BK57,4,FALSE)</f>
        <v>9</v>
      </c>
      <c r="BP54" s="28" t="str">
        <f>IF(AND($BM54=$BM56,$BN54=$BN56,$BO56&gt;$BO54),$BL56,$BL54)</f>
        <v>BUK Lukáš (TTC MS Brno)</v>
      </c>
      <c r="BQ54" s="28">
        <f>VLOOKUP(BP54,$BL54:$BO57,2,FALSE)</f>
        <v>6</v>
      </c>
      <c r="BR54" s="28">
        <f>VLOOKUP(BP54,$BL54:$BO57,3,FALSE)</f>
        <v>9</v>
      </c>
      <c r="BS54" s="28">
        <f>VLOOKUP(BP54,$BL54:$BO57,4,FALSE)</f>
        <v>9</v>
      </c>
      <c r="BT54" s="28" t="str">
        <f>IF(AND($BQ54=$BQ57,$BR54=$BR57,$BS57&gt;$BS54),$BP57,$BP54)</f>
        <v>BUK Lukáš (TTC MS Brno)</v>
      </c>
      <c r="BU54" s="28">
        <f>VLOOKUP(BT54,$BP54:$BS57,2,FALSE)</f>
        <v>6</v>
      </c>
      <c r="BV54" s="28">
        <f>VLOOKUP(BT54,$BP54:$BS57,3,FALSE)</f>
        <v>9</v>
      </c>
      <c r="BW54" s="28">
        <f>VLOOKUP(BT54,$BP54:$BS57,4,FALSE)</f>
        <v>9</v>
      </c>
      <c r="BX54" s="28" t="str">
        <f>BT54</f>
        <v>BUK Lukáš (TTC MS Brno)</v>
      </c>
      <c r="BY54" s="28">
        <f>VLOOKUP($BX54,$AJ54:$AQ57,2,FALSE)</f>
        <v>3</v>
      </c>
      <c r="BZ54" s="28">
        <f>VLOOKUP($BX54,$AJ54:$AQ57,3,FALSE)</f>
        <v>3</v>
      </c>
      <c r="CA54" s="28">
        <f>VLOOKUP($BX54,$AJ54:$AQ57,4,FALSE)</f>
        <v>0</v>
      </c>
      <c r="CB54" s="28">
        <f>VLOOKUP($BX54,$AJ54:$AQ57,5,FALSE)</f>
        <v>0</v>
      </c>
      <c r="CC54" s="28">
        <f>VLOOKUP($BX54,$AJ54:$AQ57,6,FALSE)</f>
        <v>9</v>
      </c>
      <c r="CD54" s="28">
        <f>VLOOKUP($BX54,$AJ54:$AQ57,7,FALSE)</f>
        <v>0</v>
      </c>
      <c r="CE54" s="28">
        <f>VLOOKUP($BX54,$AJ54:$AQ57,8,FALSE)</f>
        <v>6</v>
      </c>
      <c r="CF54" s="128" t="str">
        <f>CONCATENATE(CC54,":",CD54)</f>
        <v>9:0</v>
      </c>
    </row>
    <row r="55" spans="1:84" x14ac:dyDescent="0.2">
      <c r="A55" s="27" t="str">
        <f>'1-zapasy'!B44</f>
        <v>MAZALOVÁ Kristýna (KST Blansko)</v>
      </c>
      <c r="B55" s="220">
        <f>'1-zapasy'!I44</f>
        <v>2</v>
      </c>
      <c r="C55" s="220" t="e">
        <f>'3-zapasy'!#REF!</f>
        <v>#REF!</v>
      </c>
      <c r="D55" s="220">
        <f>'1-zapasy'!J44</f>
        <v>3</v>
      </c>
      <c r="E55" s="27" t="str">
        <f>'1-zapasy'!C44</f>
        <v>NOVOTNÁ Eliška (SKST Hodonín)</v>
      </c>
      <c r="F55" s="28">
        <f>COUNTBLANK('1-zapasy'!I44:'1-zapasy'!J44)</f>
        <v>0</v>
      </c>
      <c r="G55" s="28">
        <f>IF(AND(F55=0,OR($A55=$G52,$E55=$G52)),1,0)</f>
        <v>0</v>
      </c>
      <c r="H55" s="28">
        <f>IF(AND(F55=0,OR(AND($A55=$G52,$B55&gt;$D55),AND($E55=$G52,$D55&gt;$B55))),1,0)</f>
        <v>0</v>
      </c>
      <c r="I55" s="28">
        <f t="shared" si="65"/>
        <v>0</v>
      </c>
      <c r="J55" s="28">
        <f>IF(AND(F55=0,OR(AND($A55=$G52,$B55&lt;$D55),AND($E55=$G52,$D55&lt;$B55))),1,0)</f>
        <v>0</v>
      </c>
      <c r="K55" s="28">
        <f>IF(F55&gt;0,0,IF($A55=$G52,$B55,IF($E55=$G52,$D55,0)))</f>
        <v>0</v>
      </c>
      <c r="L55" s="28">
        <f>IF(F55&gt;0,0,IF($A55=$G52,$D55,IF($E55=$G52,$B55,0)))</f>
        <v>0</v>
      </c>
      <c r="M55">
        <f t="shared" si="66"/>
        <v>0</v>
      </c>
      <c r="N55">
        <f>IF(AND(F55=0,OR($A55=$N52,$E55=$N52)),1,0)</f>
        <v>0</v>
      </c>
      <c r="O55">
        <f>IF(AND(F55=0,OR(AND($A55=$N52,$B55&gt;$D55),AND($E55=$N52,$D55&gt;$B55))),1,0)</f>
        <v>0</v>
      </c>
      <c r="P55">
        <f t="shared" si="67"/>
        <v>0</v>
      </c>
      <c r="Q55">
        <f>IF(AND(F55=0,OR(AND($A55=$N52,$B55&lt;$D55),AND($E55=$N52,$D55&lt;$B55))),1,0)</f>
        <v>0</v>
      </c>
      <c r="R55">
        <f>IF(F55&gt;0,0,IF($A55=$N52,$B55,IF($E55=$N52,$D55,0)))</f>
        <v>0</v>
      </c>
      <c r="S55">
        <f>IF(F55&gt;0,0,IF($A55=$N52,$D55,IF($E55=$N52,$B55,0)))</f>
        <v>0</v>
      </c>
      <c r="T55">
        <f t="shared" si="68"/>
        <v>0</v>
      </c>
      <c r="U55">
        <f>IF(AND(F55=0,OR($A55=$U52,$E55=$U52)),1,0)</f>
        <v>1</v>
      </c>
      <c r="V55">
        <f>IF(AND(F55=0,OR(AND($A55=$U52,$B55&gt;$D55),AND($E55=$U52,$D55&gt;$B55))),1,0)</f>
        <v>0</v>
      </c>
      <c r="W55">
        <f t="shared" si="69"/>
        <v>0</v>
      </c>
      <c r="X55">
        <f>IF(AND(F55=0,OR(AND($A55=$U52,$B55&lt;$D55),AND($E55=$U52,$D55&lt;$B55))),1,0)</f>
        <v>1</v>
      </c>
      <c r="Y55">
        <f>IF(F55&gt;0,0,IF($A55=$U52,$B55,IF($E55=$U52,$D55,0)))</f>
        <v>2</v>
      </c>
      <c r="Z55">
        <f>IF(F55&gt;0,0,IF($A55=$U52,$D55,IF($E55=$U52,$B55,0)))</f>
        <v>3</v>
      </c>
      <c r="AA55">
        <f t="shared" si="70"/>
        <v>0</v>
      </c>
      <c r="AB55">
        <f>IF(AND(F55=0,OR($A55=$AB52,$E55=$AB52)),1,0)</f>
        <v>1</v>
      </c>
      <c r="AC55">
        <f>IF(AND(F55=0,OR(AND($A55=$AB52,$B55&gt;$D55),AND($E55=$AB52,$D55&gt;$B55))),1,0)</f>
        <v>1</v>
      </c>
      <c r="AD55">
        <f t="shared" si="71"/>
        <v>0</v>
      </c>
      <c r="AE55">
        <f>IF(AND(F55=0,OR(AND($A55=$AB52,$B55&lt;$D55),AND($E55=$AB52,$D55&lt;$B55))),1,0)</f>
        <v>0</v>
      </c>
      <c r="AF55">
        <f>IF(F55&gt;0,0,IF($A55=$AB52,$B55,IF($E55=$AB52,$D55,0)))</f>
        <v>3</v>
      </c>
      <c r="AG55">
        <f>IF(F55&gt;0,0,IF($A55=$AB52,$D55,IF($E55=$AB52,$B55,0)))</f>
        <v>2</v>
      </c>
      <c r="AH55">
        <f t="shared" si="72"/>
        <v>2</v>
      </c>
      <c r="AJ55" s="28" t="str">
        <f>N52</f>
        <v>DREITS Anastasiia (TTC Koral Tišnov)</v>
      </c>
      <c r="AK55" s="28">
        <f t="shared" ref="AK55:AQ55" si="74">N60</f>
        <v>3</v>
      </c>
      <c r="AL55" s="28">
        <f t="shared" si="74"/>
        <v>2</v>
      </c>
      <c r="AM55" s="28">
        <f t="shared" si="74"/>
        <v>0</v>
      </c>
      <c r="AN55" s="28">
        <f t="shared" si="74"/>
        <v>1</v>
      </c>
      <c r="AO55" s="28">
        <f t="shared" si="74"/>
        <v>6</v>
      </c>
      <c r="AP55" s="28">
        <f t="shared" si="74"/>
        <v>3</v>
      </c>
      <c r="AQ55" s="28">
        <f t="shared" si="74"/>
        <v>4</v>
      </c>
      <c r="AS55" s="28" t="str">
        <f>IF($AQ55&lt;=$AQ54,$AJ55,$AJ54)</f>
        <v>DREITS Anastasiia (TTC Koral Tišnov)</v>
      </c>
      <c r="AT55" s="28">
        <f>VLOOKUP(AS55,$AJ54:$AQ57,8,FALSE)</f>
        <v>4</v>
      </c>
      <c r="AU55" s="28" t="str">
        <f>IF($AT55&gt;=$AT57,$AS55,$AS57)</f>
        <v>DREITS Anastasiia (TTC Koral Tišnov)</v>
      </c>
      <c r="AV55" s="28">
        <f>VLOOKUP(AU55,$AS54:$AT57,2,FALSE)</f>
        <v>4</v>
      </c>
      <c r="AW55" s="28" t="str">
        <f>IF($AV55&gt;=$AV56,$AU55,$AU56)</f>
        <v>DREITS Anastasiia (TTC Koral Tišnov)</v>
      </c>
      <c r="AX55" s="28">
        <f>VLOOKUP(AW55,$AU54:$AV57,2,FALSE)</f>
        <v>4</v>
      </c>
      <c r="AY55" s="28">
        <f>VLOOKUP(AW55,$AJ54:$AQ57,6,FALSE)</f>
        <v>6</v>
      </c>
      <c r="AZ55" s="28">
        <f>VLOOKUP(AW55,$AJ54:$AQ57,7,FALSE)</f>
        <v>3</v>
      </c>
      <c r="BA55" s="28">
        <f>AY55-AZ55</f>
        <v>3</v>
      </c>
      <c r="BB55" s="28" t="str">
        <f>IF(AND($AX54=$AX55,$BA55&gt;$BA54),$AW54,$AW55)</f>
        <v>DREITS Anastasiia (TTC Koral Tišnov)</v>
      </c>
      <c r="BC55" s="28">
        <f>VLOOKUP(BB55,$AW54:$BA57,2,FALSE)</f>
        <v>4</v>
      </c>
      <c r="BD55" s="28">
        <f>VLOOKUP(BB55,$AW54:$BA57,5,FALSE)</f>
        <v>3</v>
      </c>
      <c r="BE55" s="28" t="str">
        <f>IF(AND($BC55=$BC57,$BD57&gt;$BD55),$BB57,$BB55)</f>
        <v>DREITS Anastasiia (TTC Koral Tišnov)</v>
      </c>
      <c r="BF55" s="28">
        <f>VLOOKUP(BE55,$BB54:$BD57,2,FALSE)</f>
        <v>4</v>
      </c>
      <c r="BG55" s="28">
        <f>VLOOKUP(BE55,$BB54:$BD57,3,FALSE)</f>
        <v>3</v>
      </c>
      <c r="BH55" s="28" t="str">
        <f>IF(AND($BF55=$BF56,$BG56&gt;$BG55),$BE56,$BE55)</f>
        <v>DREITS Anastasiia (TTC Koral Tišnov)</v>
      </c>
      <c r="BI55" s="28">
        <f>VLOOKUP(BH55,$BE54:$BG57,2,FALSE)</f>
        <v>4</v>
      </c>
      <c r="BJ55" s="28">
        <f>VLOOKUP(BH55,$BE54:$BG57,3,FALSE)</f>
        <v>3</v>
      </c>
      <c r="BK55" s="28">
        <f>VLOOKUP(BH55,$AJ54:$AQ57,6,FALSE)</f>
        <v>6</v>
      </c>
      <c r="BL55" s="28" t="str">
        <f>IF(AND($BI54=$BI55,$BJ54=$BJ55,$BK55&gt;$BK54),$BH54,$BH55)</f>
        <v>DREITS Anastasiia (TTC Koral Tišnov)</v>
      </c>
      <c r="BM55" s="28">
        <f>VLOOKUP(BL55,$BH54:$BK57,2,FALSE)</f>
        <v>4</v>
      </c>
      <c r="BN55" s="28">
        <f>VLOOKUP(BL55,$BH54:$BK57,3,FALSE)</f>
        <v>3</v>
      </c>
      <c r="BO55" s="28">
        <f>VLOOKUP(BL55,$BH54:$BK57,4,FALSE)</f>
        <v>6</v>
      </c>
      <c r="BP55" s="28" t="str">
        <f>IF(AND($BM55=$BM57,$BN55=$BN57,$BO57&gt;$BO55),$BL57,$BL55)</f>
        <v>DREITS Anastasiia (TTC Koral Tišnov)</v>
      </c>
      <c r="BQ55" s="28">
        <f>VLOOKUP(BP55,$BL54:$BO57,2,FALSE)</f>
        <v>4</v>
      </c>
      <c r="BR55" s="28">
        <f>VLOOKUP(BP55,$BL54:$BO57,3,FALSE)</f>
        <v>3</v>
      </c>
      <c r="BS55" s="28">
        <f>VLOOKUP(BP55,$BL54:$BO57,4,FALSE)</f>
        <v>6</v>
      </c>
      <c r="BT55" s="28" t="str">
        <f>IF(AND($BQ55=$BQ56,$BR55=$BR56,$BS56&gt;$BS55),$BP56,$BP55)</f>
        <v>DREITS Anastasiia (TTC Koral Tišnov)</v>
      </c>
      <c r="BU55" s="28">
        <f>VLOOKUP(BT55,$BP54:$BS57,2,FALSE)</f>
        <v>4</v>
      </c>
      <c r="BV55" s="28">
        <f>VLOOKUP(BT55,$BP54:$BS57,3,FALSE)</f>
        <v>3</v>
      </c>
      <c r="BW55" s="28">
        <f>VLOOKUP(BT55,$BP54:$BS57,4,FALSE)</f>
        <v>6</v>
      </c>
      <c r="BX55" s="28" t="str">
        <f>BT55</f>
        <v>DREITS Anastasiia (TTC Koral Tišnov)</v>
      </c>
      <c r="BY55" s="28">
        <f>VLOOKUP($BX55,$AJ54:$AQ57,2,FALSE)</f>
        <v>3</v>
      </c>
      <c r="BZ55" s="28">
        <f>VLOOKUP($BX55,$AJ54:$AQ57,3,FALSE)</f>
        <v>2</v>
      </c>
      <c r="CA55" s="28">
        <f>VLOOKUP($BX55,$AJ54:$AQ57,4,FALSE)</f>
        <v>0</v>
      </c>
      <c r="CB55" s="28">
        <f>VLOOKUP($BX55,$AJ54:$AQ57,5,FALSE)</f>
        <v>1</v>
      </c>
      <c r="CC55" s="28">
        <f>VLOOKUP($BX55,$AJ54:$AQ57,6,FALSE)</f>
        <v>6</v>
      </c>
      <c r="CD55" s="28">
        <f>VLOOKUP($BX55,$AJ54:$AQ57,7,FALSE)</f>
        <v>3</v>
      </c>
      <c r="CE55" s="28">
        <f>VLOOKUP($BX55,$AJ54:$AQ57,8,FALSE)</f>
        <v>4</v>
      </c>
      <c r="CF55" s="128" t="str">
        <f>CONCATENATE(CC55,":",CD55)</f>
        <v>6:3</v>
      </c>
    </row>
    <row r="56" spans="1:84" x14ac:dyDescent="0.2">
      <c r="A56" s="27" t="str">
        <f>'1-zapasy'!B45</f>
        <v>DREITS Anastasiia (TTC Koral Tišnov)</v>
      </c>
      <c r="B56" s="220">
        <f>'1-zapasy'!I45</f>
        <v>3</v>
      </c>
      <c r="C56" s="220" t="e">
        <f>'3-zapasy'!#REF!</f>
        <v>#REF!</v>
      </c>
      <c r="D56" s="220">
        <f>'1-zapasy'!J45</f>
        <v>0</v>
      </c>
      <c r="E56" s="27" t="str">
        <f>'1-zapasy'!C45</f>
        <v>MAZALOVÁ Kristýna (KST Blansko)</v>
      </c>
      <c r="F56" s="28">
        <f>COUNTBLANK('1-zapasy'!I45:'1-zapasy'!J45)</f>
        <v>0</v>
      </c>
      <c r="G56" s="28">
        <f>IF(AND(F56=0,OR($A56=$G52,$E56=$G52)),1,0)</f>
        <v>0</v>
      </c>
      <c r="H56" s="28">
        <f>IF(AND(F56=0,OR(AND($A56=$G52,$B56&gt;$D56),AND($E56=$G52,$D56&gt;$B56))),1,0)</f>
        <v>0</v>
      </c>
      <c r="I56" s="28">
        <f t="shared" si="65"/>
        <v>0</v>
      </c>
      <c r="J56" s="28">
        <f>IF(AND(F56=0,OR(AND($A56=$G52,$B56&lt;$D56),AND($E56=$G52,$D56&lt;$B56))),1,0)</f>
        <v>0</v>
      </c>
      <c r="K56" s="28">
        <f>IF(F56&gt;0,0,IF($A56=$G52,$B56,IF($E56=$G52,$D56,0)))</f>
        <v>0</v>
      </c>
      <c r="L56" s="28">
        <f>IF(F56&gt;0,0,IF($A56=$G52,$D56,IF($E56=$G52,$B56,0)))</f>
        <v>0</v>
      </c>
      <c r="M56">
        <f t="shared" si="66"/>
        <v>0</v>
      </c>
      <c r="N56">
        <f>IF(AND(F56=0,OR($A56=$N52,$E56=$N52)),1,0)</f>
        <v>1</v>
      </c>
      <c r="O56">
        <f>IF(AND(F56=0,OR(AND($A56=$N52,$B56&gt;$D56),AND($E56=$N52,$D56&gt;$B56))),1,0)</f>
        <v>1</v>
      </c>
      <c r="P56">
        <f t="shared" si="67"/>
        <v>0</v>
      </c>
      <c r="Q56">
        <f>IF(AND(F56=0,OR(AND($A56=$N52,$B56&lt;$D56),AND($E56=$N52,$D56&lt;$B56))),1,0)</f>
        <v>0</v>
      </c>
      <c r="R56">
        <f>IF(F56&gt;0,0,IF($A56=$N52,$B56,IF($E56=$N52,$D56,0)))</f>
        <v>3</v>
      </c>
      <c r="S56">
        <f>IF(F56&gt;0,0,IF($A56=$N52,$D56,IF($E56=$N52,$B56,0)))</f>
        <v>0</v>
      </c>
      <c r="T56">
        <f t="shared" si="68"/>
        <v>2</v>
      </c>
      <c r="U56">
        <f>IF(AND(F56=0,OR($A56=$U52,$E56=$U52)),1,0)</f>
        <v>1</v>
      </c>
      <c r="V56">
        <f>IF(AND(F56=0,OR(AND($A56=$U52,$B56&gt;$D56),AND($E56=$U52,$D56&gt;$B56))),1,0)</f>
        <v>0</v>
      </c>
      <c r="W56">
        <f t="shared" si="69"/>
        <v>0</v>
      </c>
      <c r="X56">
        <f>IF(AND(F56=0,OR(AND($A56=$U52,$B56&lt;$D56),AND($E56=$U52,$D56&lt;$B56))),1,0)</f>
        <v>1</v>
      </c>
      <c r="Y56">
        <f>IF(F56&gt;0,0,IF($A56=$U52,$B56,IF($E56=$U52,$D56,0)))</f>
        <v>0</v>
      </c>
      <c r="Z56">
        <f>IF(F56&gt;0,0,IF($A56=$U52,$D56,IF($E56=$U52,$B56,0)))</f>
        <v>3</v>
      </c>
      <c r="AA56">
        <f t="shared" si="70"/>
        <v>0</v>
      </c>
      <c r="AB56">
        <f>IF(AND(F56=0,OR($A56=$AB52,$E56=$AB52)),1,0)</f>
        <v>0</v>
      </c>
      <c r="AC56">
        <f>IF(AND(F56=0,OR(AND($A56=$AB52,$B56&gt;$D56),AND($E56=$AB52,$D56&gt;$B56))),1,0)</f>
        <v>0</v>
      </c>
      <c r="AD56">
        <f t="shared" si="71"/>
        <v>0</v>
      </c>
      <c r="AE56">
        <f>IF(AND(F56=0,OR(AND($A56=$AB52,$B56&lt;$D56),AND($E56=$AB52,$D56&lt;$B56))),1,0)</f>
        <v>0</v>
      </c>
      <c r="AF56">
        <f>IF(F56&gt;0,0,IF($A56=$AB52,$B56,IF($E56=$AB52,$D56,0)))</f>
        <v>0</v>
      </c>
      <c r="AG56">
        <f>IF(F56&gt;0,0,IF($A56=$AB52,$D56,IF($E56=$AB52,$B56,0)))</f>
        <v>0</v>
      </c>
      <c r="AH56">
        <f t="shared" si="72"/>
        <v>0</v>
      </c>
      <c r="AJ56" s="28" t="str">
        <f>U52</f>
        <v>MAZALOVÁ Kristýna (KST Blansko)</v>
      </c>
      <c r="AK56" s="28">
        <f t="shared" ref="AK56:AQ56" si="75">U60</f>
        <v>3</v>
      </c>
      <c r="AL56" s="28">
        <f t="shared" si="75"/>
        <v>0</v>
      </c>
      <c r="AM56" s="28">
        <f t="shared" si="75"/>
        <v>0</v>
      </c>
      <c r="AN56" s="28">
        <f t="shared" si="75"/>
        <v>3</v>
      </c>
      <c r="AO56" s="28">
        <f t="shared" si="75"/>
        <v>2</v>
      </c>
      <c r="AP56" s="28">
        <f t="shared" si="75"/>
        <v>9</v>
      </c>
      <c r="AQ56" s="28">
        <f t="shared" si="75"/>
        <v>0</v>
      </c>
      <c r="AS56" s="28" t="str">
        <f>IF($AQ56&gt;=$AQ57,$AJ56,$AJ57)</f>
        <v>NOVOTNÁ Eliška (SKST Hodonín)</v>
      </c>
      <c r="AT56" s="28">
        <f>VLOOKUP(AS56,$AJ54:$AQ57,8,FALSE)</f>
        <v>2</v>
      </c>
      <c r="AU56" s="28" t="str">
        <f>IF($AT56&lt;=$AT54,$AS56,$AS54)</f>
        <v>NOVOTNÁ Eliška (SKST Hodonín)</v>
      </c>
      <c r="AV56" s="28">
        <f>VLOOKUP(AU56,$AS54:$AT57,2,FALSE)</f>
        <v>2</v>
      </c>
      <c r="AW56" s="28" t="str">
        <f>IF($AV56&lt;=$AV55,$AU56,$AU55)</f>
        <v>NOVOTNÁ Eliška (SKST Hodonín)</v>
      </c>
      <c r="AX56" s="28">
        <f>VLOOKUP(AW56,$AU54:$AV57,2,FALSE)</f>
        <v>2</v>
      </c>
      <c r="AY56" s="28">
        <f>VLOOKUP(AW56,$AJ54:$AQ57,6,FALSE)</f>
        <v>3</v>
      </c>
      <c r="AZ56" s="28">
        <f>VLOOKUP(AW56,$AJ54:$AQ57,7,FALSE)</f>
        <v>8</v>
      </c>
      <c r="BA56" s="28">
        <f>AY56-AZ56</f>
        <v>-5</v>
      </c>
      <c r="BB56" s="28" t="str">
        <f>IF(AND($AX56=$AX57,$BA57&gt;$BA56),$AW57,$AW56)</f>
        <v>NOVOTNÁ Eliška (SKST Hodonín)</v>
      </c>
      <c r="BC56" s="28">
        <f>VLOOKUP(BB56,$AW54:$BA57,2,FALSE)</f>
        <v>2</v>
      </c>
      <c r="BD56" s="28">
        <f>VLOOKUP(BB56,$AW54:$BA57,5,FALSE)</f>
        <v>-5</v>
      </c>
      <c r="BE56" s="28" t="str">
        <f>IF(AND($BC54=$BC56,$BD56&gt;$BD54),$BB54,$BB56)</f>
        <v>NOVOTNÁ Eliška (SKST Hodonín)</v>
      </c>
      <c r="BF56" s="28">
        <f>VLOOKUP(BE56,$BB54:$BD57,2,FALSE)</f>
        <v>2</v>
      </c>
      <c r="BG56" s="28">
        <f>VLOOKUP(BE56,$BB54:$BD57,3,FALSE)</f>
        <v>-5</v>
      </c>
      <c r="BH56" s="28" t="str">
        <f>IF(AND($BF55=$BF56,$BG56&gt;$BG55),$BE55,$BE56)</f>
        <v>NOVOTNÁ Eliška (SKST Hodonín)</v>
      </c>
      <c r="BI56" s="28">
        <f>VLOOKUP(BH56,$BE54:$BG57,2,FALSE)</f>
        <v>2</v>
      </c>
      <c r="BJ56" s="28">
        <f>VLOOKUP(BH56,$BE54:$BG57,3,FALSE)</f>
        <v>-5</v>
      </c>
      <c r="BK56" s="28">
        <f>VLOOKUP(BH56,$AJ54:$AQ57,6,FALSE)</f>
        <v>3</v>
      </c>
      <c r="BL56" s="28" t="str">
        <f>IF(AND($BI56=$BI57,$BJ56=$BJ57,$BK57&gt;$BK56),$BH57,$BH56)</f>
        <v>NOVOTNÁ Eliška (SKST Hodonín)</v>
      </c>
      <c r="BM56" s="28">
        <f>VLOOKUP(BL56,$BH54:$BK57,2,FALSE)</f>
        <v>2</v>
      </c>
      <c r="BN56" s="28">
        <f>VLOOKUP(BL56,$BH54:$BK57,3,FALSE)</f>
        <v>-5</v>
      </c>
      <c r="BO56" s="28">
        <f>VLOOKUP(BL56,$BH54:$BK57,4,FALSE)</f>
        <v>3</v>
      </c>
      <c r="BP56" s="28" t="str">
        <f>IF(AND($BM54=$BM56,$BN54=$BN56,$BO56&gt;$BO54),$BL54,$BL56)</f>
        <v>NOVOTNÁ Eliška (SKST Hodonín)</v>
      </c>
      <c r="BQ56" s="28">
        <f>VLOOKUP(BP56,$BL54:$BO57,2,FALSE)</f>
        <v>2</v>
      </c>
      <c r="BR56" s="28">
        <f>VLOOKUP(BP56,$BL54:$BO57,3,FALSE)</f>
        <v>-5</v>
      </c>
      <c r="BS56" s="28">
        <f>VLOOKUP(BP56,$BL54:$BO57,4,FALSE)</f>
        <v>3</v>
      </c>
      <c r="BT56" s="28" t="str">
        <f>IF(AND($BQ55=$BQ56,$BR55=$BR56,$BS56&gt;$BS55),$BP55,$BP56)</f>
        <v>NOVOTNÁ Eliška (SKST Hodonín)</v>
      </c>
      <c r="BU56" s="28">
        <f>VLOOKUP(BT56,$BP54:$BS57,2,FALSE)</f>
        <v>2</v>
      </c>
      <c r="BV56" s="28">
        <f>VLOOKUP(BT56,$BP54:$BS57,3,FALSE)</f>
        <v>-5</v>
      </c>
      <c r="BW56" s="28">
        <f>VLOOKUP(BT56,$BP54:$BS57,4,FALSE)</f>
        <v>3</v>
      </c>
      <c r="BX56" s="28" t="str">
        <f>BT56</f>
        <v>NOVOTNÁ Eliška (SKST Hodonín)</v>
      </c>
      <c r="BY56" s="28">
        <f>VLOOKUP($BX56,$AJ54:$AQ57,2,FALSE)</f>
        <v>3</v>
      </c>
      <c r="BZ56" s="28">
        <f>VLOOKUP($BX56,$AJ54:$AQ57,3,FALSE)</f>
        <v>1</v>
      </c>
      <c r="CA56" s="28">
        <f>VLOOKUP($BX56,$AJ54:$AQ57,4,FALSE)</f>
        <v>0</v>
      </c>
      <c r="CB56" s="28">
        <f>VLOOKUP($BX56,$AJ54:$AQ57,5,FALSE)</f>
        <v>2</v>
      </c>
      <c r="CC56" s="28">
        <f>VLOOKUP($BX56,$AJ54:$AQ57,6,FALSE)</f>
        <v>3</v>
      </c>
      <c r="CD56" s="28">
        <f>VLOOKUP($BX56,$AJ54:$AQ57,7,FALSE)</f>
        <v>8</v>
      </c>
      <c r="CE56" s="28">
        <f>VLOOKUP($BX56,$AJ54:$AQ57,8,FALSE)</f>
        <v>2</v>
      </c>
      <c r="CF56" s="128" t="str">
        <f>CONCATENATE(CC56,":",CD56)</f>
        <v>3:8</v>
      </c>
    </row>
    <row r="57" spans="1:84" x14ac:dyDescent="0.2">
      <c r="A57" s="27" t="str">
        <f>'1-zapasy'!B46</f>
        <v>NOVOTNÁ Eliška (SKST Hodonín)</v>
      </c>
      <c r="B57" s="220">
        <f>'1-zapasy'!I46</f>
        <v>0</v>
      </c>
      <c r="C57" s="220" t="e">
        <f>'3-zapasy'!#REF!</f>
        <v>#REF!</v>
      </c>
      <c r="D57" s="220">
        <f>'1-zapasy'!J46</f>
        <v>3</v>
      </c>
      <c r="E57" s="27" t="str">
        <f>'1-zapasy'!C46</f>
        <v>BUK Lukáš (TTC MS Brno)</v>
      </c>
      <c r="F57" s="28">
        <f>COUNTBLANK('1-zapasy'!I46:'1-zapasy'!J46)</f>
        <v>0</v>
      </c>
      <c r="G57" s="28">
        <f>IF(AND(F57=0,OR($A57=$G52,$E57=$G52)),1,0)</f>
        <v>1</v>
      </c>
      <c r="H57" s="28">
        <f>IF(AND(F57=0,OR(AND($A57=$G52,$B57&gt;$D57),AND($E57=$G52,$D57&gt;$B57))),1,0)</f>
        <v>1</v>
      </c>
      <c r="I57" s="28">
        <f t="shared" si="65"/>
        <v>0</v>
      </c>
      <c r="J57" s="28">
        <f>IF(AND(F57=0,OR(AND($A57=$G52,$B57&lt;$D57),AND($E57=$G52,$D57&lt;$B57))),1,0)</f>
        <v>0</v>
      </c>
      <c r="K57" s="28">
        <f>IF(F57&gt;0,0,IF($A57=$G52,$B57,IF($E57=$G52,$D57,0)))</f>
        <v>3</v>
      </c>
      <c r="L57" s="28">
        <f>IF(F57&gt;0,0,IF($A57=$G52,$D57,IF($E57=$G52,$B57,0)))</f>
        <v>0</v>
      </c>
      <c r="M57">
        <f t="shared" si="66"/>
        <v>2</v>
      </c>
      <c r="N57">
        <f>IF(AND(F57=0,OR($A57=$N52,$E57=$N52)),1,0)</f>
        <v>0</v>
      </c>
      <c r="O57">
        <f>IF(AND(F57=0,OR(AND($A57=$N52,$B57&gt;$D57),AND($E57=$N52,$D57&gt;$B57))),1,0)</f>
        <v>0</v>
      </c>
      <c r="P57">
        <f t="shared" si="67"/>
        <v>0</v>
      </c>
      <c r="Q57">
        <f>IF(AND(F57=0,OR(AND($A57=$N52,$B57&lt;$D57),AND($E57=$N52,$D57&lt;$B57))),1,0)</f>
        <v>0</v>
      </c>
      <c r="R57">
        <f>IF(F57&gt;0,0,IF($A57=$N52,$B57,IF($E57=$N52,$D57,0)))</f>
        <v>0</v>
      </c>
      <c r="S57">
        <f>IF(F57&gt;0,0,IF($A57=$N52,$D57,IF($E57=$N52,$B57,0)))</f>
        <v>0</v>
      </c>
      <c r="T57">
        <f t="shared" si="68"/>
        <v>0</v>
      </c>
      <c r="U57">
        <f>IF(AND(F57=0,OR($A57=$U52,$E57=$U52)),1,0)</f>
        <v>0</v>
      </c>
      <c r="V57">
        <f>IF(AND(F57=0,OR(AND($A57=$U52,$B57&gt;$D57),AND($E57=$U52,$D57&gt;$B57))),1,0)</f>
        <v>0</v>
      </c>
      <c r="W57">
        <f t="shared" si="69"/>
        <v>0</v>
      </c>
      <c r="X57">
        <f>IF(AND(F57=0,OR(AND($A57=$U52,$B57&lt;$D57),AND($E57=$U52,$D57&lt;$B57))),1,0)</f>
        <v>0</v>
      </c>
      <c r="Y57">
        <f>IF(F57&gt;0,0,IF($A57=$U52,$B57,IF($E57=$U52,$D57,0)))</f>
        <v>0</v>
      </c>
      <c r="Z57">
        <f>IF(F57&gt;0,0,IF($A57=$U52,$D57,IF($E57=$U52,$B57,0)))</f>
        <v>0</v>
      </c>
      <c r="AA57">
        <f t="shared" si="70"/>
        <v>0</v>
      </c>
      <c r="AB57">
        <f>IF(AND(F57=0,OR($A57=$AB52,$E57=$AB52)),1,0)</f>
        <v>1</v>
      </c>
      <c r="AC57">
        <f>IF(AND(F57=0,OR(AND($A57=$AB52,$B57&gt;$D57),AND($E57=$AB52,$D57&gt;$B57))),1,0)</f>
        <v>0</v>
      </c>
      <c r="AD57">
        <f t="shared" si="71"/>
        <v>0</v>
      </c>
      <c r="AE57">
        <f>IF(AND(F57=0,OR(AND($A57=$AB52,$B57&lt;$D57),AND($E57=$AB52,$D57&lt;$B57))),1,0)</f>
        <v>1</v>
      </c>
      <c r="AF57">
        <f>IF(F57&gt;0,0,IF($A57=$AB52,$B57,IF($E57=$AB52,$D57,0)))</f>
        <v>0</v>
      </c>
      <c r="AG57">
        <f>IF(F57&gt;0,0,IF($A57=$AB52,$D57,IF($E57=$AB52,$B57,0)))</f>
        <v>3</v>
      </c>
      <c r="AH57">
        <f t="shared" si="72"/>
        <v>0</v>
      </c>
      <c r="AJ57" s="28" t="str">
        <f>AB52</f>
        <v>NOVOTNÁ Eliška (SKST Hodonín)</v>
      </c>
      <c r="AK57" s="28">
        <f t="shared" ref="AK57:AQ57" si="76">AB60</f>
        <v>3</v>
      </c>
      <c r="AL57" s="28">
        <f t="shared" si="76"/>
        <v>1</v>
      </c>
      <c r="AM57" s="28">
        <f t="shared" si="76"/>
        <v>0</v>
      </c>
      <c r="AN57" s="28">
        <f t="shared" si="76"/>
        <v>2</v>
      </c>
      <c r="AO57" s="28">
        <f t="shared" si="76"/>
        <v>3</v>
      </c>
      <c r="AP57" s="28">
        <f t="shared" si="76"/>
        <v>8</v>
      </c>
      <c r="AQ57" s="28">
        <f t="shared" si="76"/>
        <v>2</v>
      </c>
      <c r="AS57" s="28" t="str">
        <f>IF($AQ57&lt;=$AQ56,$AJ57,$AJ56)</f>
        <v>MAZALOVÁ Kristýna (KST Blansko)</v>
      </c>
      <c r="AT57" s="28">
        <f>VLOOKUP(AS57,$AJ54:$AQ57,8,FALSE)</f>
        <v>0</v>
      </c>
      <c r="AU57" s="28" t="str">
        <f>IF($AT57&lt;=$AT55,$AS57,$AS55)</f>
        <v>MAZALOVÁ Kristýna (KST Blansko)</v>
      </c>
      <c r="AV57" s="28">
        <f>VLOOKUP(AU57,$AS54:$AT57,2,FALSE)</f>
        <v>0</v>
      </c>
      <c r="AW57" s="28" t="str">
        <f>IF($AV57&lt;=$AV54,$AU57,$AU54)</f>
        <v>MAZALOVÁ Kristýna (KST Blansko)</v>
      </c>
      <c r="AX57" s="28">
        <f>VLOOKUP(AW57,$AU54:$AV57,2,FALSE)</f>
        <v>0</v>
      </c>
      <c r="AY57" s="28">
        <f>VLOOKUP(AW57,$AJ54:$AQ57,6,FALSE)</f>
        <v>2</v>
      </c>
      <c r="AZ57" s="28">
        <f>VLOOKUP(AW57,$AJ54:$AQ57,7,FALSE)</f>
        <v>9</v>
      </c>
      <c r="BA57" s="28">
        <f>AY57-AZ57</f>
        <v>-7</v>
      </c>
      <c r="BB57" s="28" t="str">
        <f>IF(AND($AX56=$AX57,$BA57&gt;$BA56),$AW56,$AW57)</f>
        <v>MAZALOVÁ Kristýna (KST Blansko)</v>
      </c>
      <c r="BC57" s="28">
        <f>VLOOKUP(BB57,$AW54:$BA57,2,FALSE)</f>
        <v>0</v>
      </c>
      <c r="BD57" s="28">
        <f>VLOOKUP(BB57,$AW54:$BA57,5,FALSE)</f>
        <v>-7</v>
      </c>
      <c r="BE57" s="28" t="str">
        <f>IF(AND($BC55=$BC57,$BD57&gt;$BD55),$BB55,$BB57)</f>
        <v>MAZALOVÁ Kristýna (KST Blansko)</v>
      </c>
      <c r="BF57" s="28">
        <f>VLOOKUP(BE57,$BB54:$BD57,2,FALSE)</f>
        <v>0</v>
      </c>
      <c r="BG57" s="28">
        <f>VLOOKUP(BE57,$BB54:$BD57,3,FALSE)</f>
        <v>-7</v>
      </c>
      <c r="BH57" s="28" t="str">
        <f>IF(AND($BF54=$BF57,$BG57&gt;$BG54),$BE54,$BE57)</f>
        <v>MAZALOVÁ Kristýna (KST Blansko)</v>
      </c>
      <c r="BI57" s="28">
        <f>VLOOKUP(BH57,$BE54:$BG57,2,FALSE)</f>
        <v>0</v>
      </c>
      <c r="BJ57" s="28">
        <f>VLOOKUP(BH57,$BE54:$BG57,3,FALSE)</f>
        <v>-7</v>
      </c>
      <c r="BK57" s="28">
        <f>VLOOKUP(BH57,$AJ54:$AQ57,6,FALSE)</f>
        <v>2</v>
      </c>
      <c r="BL57" s="28" t="str">
        <f>IF(AND($BI56=$BI57,$BJ56=$BJ57,$BK57&gt;$BK56),$BH56,$BH57)</f>
        <v>MAZALOVÁ Kristýna (KST Blansko)</v>
      </c>
      <c r="BM57" s="28">
        <f>VLOOKUP(BL57,$BH54:$BK57,2,FALSE)</f>
        <v>0</v>
      </c>
      <c r="BN57" s="28">
        <f>VLOOKUP(BL57,$BH54:$BK57,3,FALSE)</f>
        <v>-7</v>
      </c>
      <c r="BO57" s="28">
        <f>VLOOKUP(BL57,$BH54:$BK57,4,FALSE)</f>
        <v>2</v>
      </c>
      <c r="BP57" s="28" t="str">
        <f>IF(AND($BM55=$BM57,$BN55=$BN57,$BO57&gt;$BO55),$BL55,$BL57)</f>
        <v>MAZALOVÁ Kristýna (KST Blansko)</v>
      </c>
      <c r="BQ57" s="28">
        <f>VLOOKUP(BP57,$BL54:$BO57,2,FALSE)</f>
        <v>0</v>
      </c>
      <c r="BR57" s="28">
        <f>VLOOKUP(BP57,$BL54:$BO57,3,FALSE)</f>
        <v>-7</v>
      </c>
      <c r="BS57" s="28">
        <f>VLOOKUP(BP57,$BL54:$BO57,4,FALSE)</f>
        <v>2</v>
      </c>
      <c r="BT57" s="28" t="str">
        <f>IF(AND($BQ54=$BQ57,$BR54=$BR57,$BS57&gt;$BS54),$BP54,$BP57)</f>
        <v>MAZALOVÁ Kristýna (KST Blansko)</v>
      </c>
      <c r="BU57" s="28">
        <f>VLOOKUP(BT57,$BP54:$BS57,2,FALSE)</f>
        <v>0</v>
      </c>
      <c r="BV57" s="28">
        <f>VLOOKUP(BT57,$BP54:$BS57,3,FALSE)</f>
        <v>-7</v>
      </c>
      <c r="BW57" s="28">
        <f>VLOOKUP(BT57,$BP54:$BS57,4,FALSE)</f>
        <v>2</v>
      </c>
      <c r="BX57" s="28" t="str">
        <f>BT57</f>
        <v>MAZALOVÁ Kristýna (KST Blansko)</v>
      </c>
      <c r="BY57" s="28">
        <f>VLOOKUP($BX57,$AJ54:$AQ57,2,FALSE)</f>
        <v>3</v>
      </c>
      <c r="BZ57" s="28">
        <f>VLOOKUP($BX57,$AJ54:$AQ57,3,FALSE)</f>
        <v>0</v>
      </c>
      <c r="CA57" s="28">
        <f>VLOOKUP($BX57,$AJ54:$AQ57,4,FALSE)</f>
        <v>0</v>
      </c>
      <c r="CB57" s="28">
        <f>VLOOKUP($BX57,$AJ54:$AQ57,5,FALSE)</f>
        <v>3</v>
      </c>
      <c r="CC57" s="28">
        <f>VLOOKUP($BX57,$AJ54:$AQ57,6,FALSE)</f>
        <v>2</v>
      </c>
      <c r="CD57" s="28">
        <f>VLOOKUP($BX57,$AJ54:$AQ57,7,FALSE)</f>
        <v>9</v>
      </c>
      <c r="CE57" s="28">
        <f>VLOOKUP($BX57,$AJ54:$AQ57,8,FALSE)</f>
        <v>0</v>
      </c>
      <c r="CF57" s="128" t="str">
        <f>CONCATENATE(CC57,":",CD57)</f>
        <v>2:9</v>
      </c>
    </row>
    <row r="58" spans="1:84" x14ac:dyDescent="0.2">
      <c r="A58" s="27" t="str">
        <f>'1-zapasy'!B47</f>
        <v>NOVOTNÁ Eliška (SKST Hodonín)</v>
      </c>
      <c r="B58" s="220">
        <f>'1-zapasy'!I47</f>
        <v>0</v>
      </c>
      <c r="C58" s="220" t="e">
        <f>'3-zapasy'!#REF!</f>
        <v>#REF!</v>
      </c>
      <c r="D58" s="220">
        <f>'1-zapasy'!J47</f>
        <v>3</v>
      </c>
      <c r="E58" s="27" t="str">
        <f>'1-zapasy'!C47</f>
        <v>DREITS Anastasiia (TTC Koral Tišnov)</v>
      </c>
      <c r="F58" s="28">
        <f>COUNTBLANK('1-zapasy'!I47:'1-zapasy'!J47)</f>
        <v>0</v>
      </c>
      <c r="G58" s="28">
        <f>IF(AND(F58=0,OR($A58=$G52,$E58=$G52)),1,0)</f>
        <v>0</v>
      </c>
      <c r="H58" s="28">
        <f>IF(AND(F58=0,OR(AND($A58=$G52,$B58&gt;$D58),AND($E58=$G52,$D58&gt;$B58))),1,0)</f>
        <v>0</v>
      </c>
      <c r="I58" s="28">
        <f t="shared" si="65"/>
        <v>0</v>
      </c>
      <c r="J58" s="28">
        <f>IF(AND(F58=0,OR(AND($A58=$G52,$B58&lt;$D58),AND($E58=$G52,$D58&lt;$B58))),1,0)</f>
        <v>0</v>
      </c>
      <c r="K58" s="28">
        <f>IF(F58&gt;0,0,IF($A58=$G52,$B58,IF($E58=$G52,$D58,0)))</f>
        <v>0</v>
      </c>
      <c r="L58" s="28">
        <f>IF(F58&gt;0,0,IF($A58=$G52,$D58,IF($E58=$G52,$B58,0)))</f>
        <v>0</v>
      </c>
      <c r="M58">
        <f t="shared" si="66"/>
        <v>0</v>
      </c>
      <c r="N58">
        <f>IF(AND(F58=0,OR($A58=$N52,$E58=$N52)),1,0)</f>
        <v>1</v>
      </c>
      <c r="O58">
        <f>IF(AND(F58=0,OR(AND($A58=$N52,$B58&gt;$D58),AND($E58=$N52,$D58&gt;$B58))),1,0)</f>
        <v>1</v>
      </c>
      <c r="P58">
        <f t="shared" si="67"/>
        <v>0</v>
      </c>
      <c r="Q58">
        <f>IF(AND(F58=0,OR(AND($A58=$N52,$B58&lt;$D58),AND($E58=$N52,$D58&lt;$B58))),1,0)</f>
        <v>0</v>
      </c>
      <c r="R58">
        <f>IF(F58&gt;0,0,IF($A58=$N52,$B58,IF($E58=$N52,$D58,0)))</f>
        <v>3</v>
      </c>
      <c r="S58">
        <f>IF(F58&gt;0,0,IF($A58=$N52,$D58,IF($E58=$N52,$B58,0)))</f>
        <v>0</v>
      </c>
      <c r="T58">
        <f t="shared" si="68"/>
        <v>2</v>
      </c>
      <c r="U58">
        <f>IF(AND(F58=0,OR($A58=$U52,$E58=$U52)),1,0)</f>
        <v>0</v>
      </c>
      <c r="V58">
        <f>IF(AND(F58=0,OR(AND($A58=$U52,$B58&gt;$D58),AND($E58=$U52,$D58&gt;$B58))),1,0)</f>
        <v>0</v>
      </c>
      <c r="W58">
        <f t="shared" si="69"/>
        <v>0</v>
      </c>
      <c r="X58">
        <f>IF(AND(F58=0,OR(AND($A58=$U52,$B58&lt;$D58),AND($E58=$U52,$D58&lt;$B58))),1,0)</f>
        <v>0</v>
      </c>
      <c r="Y58">
        <f>IF(F58&gt;0,0,IF($A58=$U52,$B58,IF($E58=$U52,$D58,0)))</f>
        <v>0</v>
      </c>
      <c r="Z58">
        <f>IF(F58&gt;0,0,IF($A58=$U52,$D58,IF($E58=$U52,$B58,0)))</f>
        <v>0</v>
      </c>
      <c r="AA58">
        <f t="shared" si="70"/>
        <v>0</v>
      </c>
      <c r="AB58">
        <f>IF(AND(F58=0,OR($A58=$AB52,$E58=$AB52)),1,0)</f>
        <v>1</v>
      </c>
      <c r="AC58">
        <f>IF(AND(F58=0,OR(AND($A58=$AB52,$B58&gt;$D58),AND($E58=$AB52,$D58&gt;$B58))),1,0)</f>
        <v>0</v>
      </c>
      <c r="AD58">
        <f t="shared" si="71"/>
        <v>0</v>
      </c>
      <c r="AE58">
        <f>IF(AND(F58=0,OR(AND($A58=$AB52,$B58&lt;$D58),AND($E58=$AB52,$D58&lt;$B58))),1,0)</f>
        <v>1</v>
      </c>
      <c r="AF58">
        <f>IF(F58&gt;0,0,IF($A58=$AB52,$B58,IF($E58=$AB52,$D58,0)))</f>
        <v>0</v>
      </c>
      <c r="AG58">
        <f>IF(F58&gt;0,0,IF($A58=$AB52,$D58,IF($E58=$AB52,$B58,0)))</f>
        <v>3</v>
      </c>
      <c r="AH58">
        <f t="shared" si="72"/>
        <v>0</v>
      </c>
    </row>
    <row r="59" spans="1:84" x14ac:dyDescent="0.2">
      <c r="A59" s="27" t="str">
        <f>'1-zapasy'!B48</f>
        <v>BUK Lukáš (TTC MS Brno)</v>
      </c>
      <c r="B59" s="220">
        <f>'1-zapasy'!I48</f>
        <v>3</v>
      </c>
      <c r="C59" s="220" t="e">
        <f>'3-zapasy'!#REF!</f>
        <v>#REF!</v>
      </c>
      <c r="D59" s="220">
        <f>'1-zapasy'!J48</f>
        <v>0</v>
      </c>
      <c r="E59" s="27" t="str">
        <f>'1-zapasy'!C48</f>
        <v>MAZALOVÁ Kristýna (KST Blansko)</v>
      </c>
      <c r="F59" s="28">
        <f>COUNTBLANK('1-zapasy'!I48:'1-zapasy'!J48)</f>
        <v>0</v>
      </c>
      <c r="G59" s="28">
        <f>IF(AND(F59=0,OR($A59=$G52,$E59=$G52)),1,0)</f>
        <v>1</v>
      </c>
      <c r="H59" s="28">
        <f>IF(AND(F59=0,OR(AND($A59=$G52,$B59&gt;$D59),AND($E59=$G52,$D59&gt;$B59))),1,0)</f>
        <v>1</v>
      </c>
      <c r="I59" s="28">
        <f t="shared" si="65"/>
        <v>0</v>
      </c>
      <c r="J59" s="28">
        <f>IF(AND(F59=0,OR(AND($A59=$G52,$B59&lt;$D59),AND($E59=$G52,$D59&lt;$B59))),1,0)</f>
        <v>0</v>
      </c>
      <c r="K59" s="28">
        <f>IF(F59&gt;0,0,IF($A59=$G52,$B59,IF($E59=$G52,$D59,0)))</f>
        <v>3</v>
      </c>
      <c r="L59" s="28">
        <f>IF(F59&gt;0,0,IF($A59=$G52,$D59,IF($E59=$G52,$B59,0)))</f>
        <v>0</v>
      </c>
      <c r="M59">
        <f t="shared" si="66"/>
        <v>2</v>
      </c>
      <c r="N59">
        <f>IF(AND(F59=0,OR($A59=$N52,$E59=$N52)),1,0)</f>
        <v>0</v>
      </c>
      <c r="O59">
        <f>IF(AND(F59=0,OR(AND($A59=$N52,$B59&gt;$D59),AND($E59=$N52,$D59&gt;$B59))),1,0)</f>
        <v>0</v>
      </c>
      <c r="P59">
        <f t="shared" si="67"/>
        <v>0</v>
      </c>
      <c r="Q59">
        <f>IF(AND(F59=0,OR(AND($A59=$N52,$B59&lt;$D59),AND($E59=$N52,$D59&lt;$B59))),1,0)</f>
        <v>0</v>
      </c>
      <c r="R59">
        <f>IF(F59&gt;0,0,IF($A59=$N52,$B59,IF($E59=$N52,$D59,0)))</f>
        <v>0</v>
      </c>
      <c r="S59">
        <f>IF(F59&gt;0,0,IF($A59=$N52,$D59,IF($E59=$N52,$B59,0)))</f>
        <v>0</v>
      </c>
      <c r="T59">
        <f t="shared" si="68"/>
        <v>0</v>
      </c>
      <c r="U59">
        <f>IF(AND(F59=0,OR($A59=$U52,$E59=$U52)),1,0)</f>
        <v>1</v>
      </c>
      <c r="V59">
        <f>IF(AND(F59=0,OR(AND($A59=$U52,$B59&gt;$D59),AND($E59=$U52,$D59&gt;$B59))),1,0)</f>
        <v>0</v>
      </c>
      <c r="W59">
        <f t="shared" si="69"/>
        <v>0</v>
      </c>
      <c r="X59">
        <f>IF(AND(F59=0,OR(AND($A59=$U52,$B59&lt;$D59),AND($E59=$U52,$D59&lt;$B59))),1,0)</f>
        <v>1</v>
      </c>
      <c r="Y59">
        <f>IF(F59&gt;0,0,IF($A59=$U52,$B59,IF($E59=$U52,$D59,0)))</f>
        <v>0</v>
      </c>
      <c r="Z59">
        <f>IF(F59&gt;0,0,IF($A59=$U52,$D59,IF($E59=$U52,$B59,0)))</f>
        <v>3</v>
      </c>
      <c r="AA59">
        <f t="shared" si="70"/>
        <v>0</v>
      </c>
      <c r="AB59">
        <f>IF(AND(F59=0,OR($A59=$AB52,$E59=$AB52)),1,0)</f>
        <v>0</v>
      </c>
      <c r="AC59">
        <f>IF(AND(F59=0,OR(AND($A59=$AB52,$B59&gt;$D59),AND($E59=$AB52,$D59&gt;$B59))),1,0)</f>
        <v>0</v>
      </c>
      <c r="AD59">
        <f t="shared" si="71"/>
        <v>0</v>
      </c>
      <c r="AE59">
        <f>IF(AND(F59=0,OR(AND($A59=$AB52,$B59&lt;$D59),AND($E59=$AB52,$D59&lt;$B59))),1,0)</f>
        <v>0</v>
      </c>
      <c r="AF59">
        <f>IF(F59&gt;0,0,IF($A59=$AB52,$B59,IF($E59=$AB52,$D59,0)))</f>
        <v>0</v>
      </c>
      <c r="AG59">
        <f>IF(F59&gt;0,0,IF($A59=$AB52,$D59,IF($E59=$AB52,$B59,0)))</f>
        <v>0</v>
      </c>
      <c r="AH59">
        <f t="shared" si="72"/>
        <v>0</v>
      </c>
    </row>
    <row r="60" spans="1:84" x14ac:dyDescent="0.2">
      <c r="G60" s="28">
        <f t="shared" ref="G60:AH60" si="77">SUM(G54:G59)</f>
        <v>3</v>
      </c>
      <c r="H60" s="28">
        <f t="shared" si="77"/>
        <v>3</v>
      </c>
      <c r="I60" s="28">
        <f t="shared" si="77"/>
        <v>0</v>
      </c>
      <c r="J60" s="28">
        <f t="shared" si="77"/>
        <v>0</v>
      </c>
      <c r="K60" s="28">
        <f t="shared" si="77"/>
        <v>9</v>
      </c>
      <c r="L60" s="28">
        <f t="shared" si="77"/>
        <v>0</v>
      </c>
      <c r="M60">
        <f t="shared" si="77"/>
        <v>6</v>
      </c>
      <c r="N60">
        <f t="shared" si="77"/>
        <v>3</v>
      </c>
      <c r="O60">
        <f t="shared" si="77"/>
        <v>2</v>
      </c>
      <c r="P60">
        <f t="shared" si="77"/>
        <v>0</v>
      </c>
      <c r="Q60">
        <f t="shared" si="77"/>
        <v>1</v>
      </c>
      <c r="R60">
        <f t="shared" si="77"/>
        <v>6</v>
      </c>
      <c r="S60">
        <f t="shared" si="77"/>
        <v>3</v>
      </c>
      <c r="T60">
        <f t="shared" si="77"/>
        <v>4</v>
      </c>
      <c r="U60">
        <f t="shared" si="77"/>
        <v>3</v>
      </c>
      <c r="V60">
        <f t="shared" si="77"/>
        <v>0</v>
      </c>
      <c r="W60">
        <f t="shared" si="77"/>
        <v>0</v>
      </c>
      <c r="X60">
        <f t="shared" si="77"/>
        <v>3</v>
      </c>
      <c r="Y60">
        <f t="shared" si="77"/>
        <v>2</v>
      </c>
      <c r="Z60">
        <f t="shared" si="77"/>
        <v>9</v>
      </c>
      <c r="AA60">
        <f t="shared" si="77"/>
        <v>0</v>
      </c>
      <c r="AB60">
        <f t="shared" si="77"/>
        <v>3</v>
      </c>
      <c r="AC60">
        <f t="shared" si="77"/>
        <v>1</v>
      </c>
      <c r="AD60">
        <f t="shared" si="77"/>
        <v>0</v>
      </c>
      <c r="AE60">
        <f t="shared" si="77"/>
        <v>2</v>
      </c>
      <c r="AF60">
        <f t="shared" si="77"/>
        <v>3</v>
      </c>
      <c r="AG60">
        <f t="shared" si="77"/>
        <v>8</v>
      </c>
      <c r="AH60">
        <f t="shared" si="77"/>
        <v>2</v>
      </c>
    </row>
    <row r="62" spans="1:84" x14ac:dyDescent="0.2">
      <c r="A62" s="463" t="str">
        <f>'1-zapasy'!A49</f>
        <v>skupina A7</v>
      </c>
      <c r="B62" s="464"/>
      <c r="C62" s="464"/>
      <c r="D62" s="464"/>
      <c r="E62" s="464"/>
      <c r="F62" s="28" t="s">
        <v>67</v>
      </c>
      <c r="G62" s="465" t="str">
        <f>A64</f>
        <v>POKORNÝ Martin (KST Blansko)</v>
      </c>
      <c r="H62" s="465"/>
      <c r="I62" s="465"/>
      <c r="J62" s="465"/>
      <c r="K62" s="465"/>
      <c r="L62" s="465"/>
      <c r="M62" s="465"/>
      <c r="N62" s="465" t="str">
        <f>E64</f>
        <v/>
      </c>
      <c r="O62" s="465"/>
      <c r="P62" s="465"/>
      <c r="Q62" s="465"/>
      <c r="R62" s="465"/>
      <c r="S62" s="465"/>
      <c r="T62" s="465"/>
      <c r="U62" s="465" t="str">
        <f>A65</f>
        <v>HAVRÁNEK Ondřej (TTC MS Brno)</v>
      </c>
      <c r="V62" s="465"/>
      <c r="W62" s="465"/>
      <c r="X62" s="465"/>
      <c r="Y62" s="465"/>
      <c r="Z62" s="465"/>
      <c r="AA62" s="465"/>
      <c r="AB62" s="465" t="str">
        <f>E65</f>
        <v>KRÁL Ondřej (SKST Hodonín)</v>
      </c>
      <c r="AC62" s="465"/>
      <c r="AD62" s="465"/>
      <c r="AE62" s="465"/>
      <c r="AF62" s="465"/>
      <c r="AG62" s="465"/>
      <c r="AH62" s="465"/>
      <c r="AJ62" s="465" t="s">
        <v>68</v>
      </c>
      <c r="AK62" s="465"/>
      <c r="AL62" s="465"/>
      <c r="AM62" s="465"/>
      <c r="AN62" s="465"/>
      <c r="AO62" s="465"/>
      <c r="AP62" s="465"/>
      <c r="AQ62" s="465"/>
      <c r="BX62" s="28" t="s">
        <v>69</v>
      </c>
    </row>
    <row r="63" spans="1:84" x14ac:dyDescent="0.2">
      <c r="A63" s="464"/>
      <c r="B63" s="464"/>
      <c r="C63" s="464"/>
      <c r="D63" s="464"/>
      <c r="E63" s="464"/>
      <c r="F63" s="28" t="s">
        <v>70</v>
      </c>
      <c r="G63" s="28" t="s">
        <v>71</v>
      </c>
      <c r="H63" s="28" t="s">
        <v>72</v>
      </c>
      <c r="I63" s="28" t="s">
        <v>73</v>
      </c>
      <c r="J63" s="28" t="s">
        <v>74</v>
      </c>
      <c r="K63" s="28" t="s">
        <v>75</v>
      </c>
      <c r="L63" s="28" t="s">
        <v>76</v>
      </c>
      <c r="M63" s="28" t="s">
        <v>77</v>
      </c>
      <c r="N63" s="28" t="s">
        <v>71</v>
      </c>
      <c r="O63" s="28" t="s">
        <v>72</v>
      </c>
      <c r="P63" s="28" t="s">
        <v>73</v>
      </c>
      <c r="Q63" s="28" t="s">
        <v>74</v>
      </c>
      <c r="R63" s="28" t="s">
        <v>75</v>
      </c>
      <c r="S63" s="28" t="s">
        <v>76</v>
      </c>
      <c r="T63" s="28" t="s">
        <v>77</v>
      </c>
      <c r="U63" s="28" t="s">
        <v>71</v>
      </c>
      <c r="V63" s="28" t="s">
        <v>72</v>
      </c>
      <c r="W63" s="28" t="s">
        <v>73</v>
      </c>
      <c r="X63" s="28" t="s">
        <v>74</v>
      </c>
      <c r="Y63" s="28" t="s">
        <v>75</v>
      </c>
      <c r="Z63" s="28" t="s">
        <v>76</v>
      </c>
      <c r="AA63" s="28" t="s">
        <v>77</v>
      </c>
      <c r="AB63" s="28" t="s">
        <v>71</v>
      </c>
      <c r="AC63" s="28" t="s">
        <v>72</v>
      </c>
      <c r="AD63" s="28" t="s">
        <v>73</v>
      </c>
      <c r="AE63" s="28" t="s">
        <v>74</v>
      </c>
      <c r="AF63" s="28" t="s">
        <v>75</v>
      </c>
      <c r="AG63" s="28" t="s">
        <v>76</v>
      </c>
      <c r="AH63" s="28" t="s">
        <v>77</v>
      </c>
      <c r="AK63" s="28" t="s">
        <v>71</v>
      </c>
      <c r="AL63" s="28" t="s">
        <v>72</v>
      </c>
      <c r="AM63" s="28" t="s">
        <v>73</v>
      </c>
      <c r="AN63" s="28" t="s">
        <v>74</v>
      </c>
      <c r="AO63" s="28" t="s">
        <v>75</v>
      </c>
      <c r="AP63" s="28" t="s">
        <v>76</v>
      </c>
      <c r="AQ63" s="28" t="s">
        <v>77</v>
      </c>
      <c r="AS63" s="28" t="s">
        <v>78</v>
      </c>
      <c r="AU63" s="28" t="s">
        <v>79</v>
      </c>
      <c r="AW63" s="28" t="s">
        <v>80</v>
      </c>
      <c r="AY63" s="28" t="s">
        <v>81</v>
      </c>
      <c r="BB63" s="28" t="s">
        <v>82</v>
      </c>
      <c r="BE63" s="28" t="s">
        <v>83</v>
      </c>
      <c r="BH63" s="28" t="s">
        <v>84</v>
      </c>
      <c r="BK63" s="28" t="s">
        <v>85</v>
      </c>
      <c r="BL63" s="28" t="s">
        <v>86</v>
      </c>
      <c r="BP63" s="28" t="s">
        <v>87</v>
      </c>
      <c r="BT63" s="28" t="s">
        <v>88</v>
      </c>
      <c r="BY63" s="28" t="s">
        <v>65</v>
      </c>
      <c r="BZ63" s="28" t="s">
        <v>89</v>
      </c>
      <c r="CA63" s="28" t="s">
        <v>58</v>
      </c>
      <c r="CB63" s="28" t="s">
        <v>90</v>
      </c>
      <c r="CC63" s="28" t="s">
        <v>51</v>
      </c>
      <c r="CD63" s="28" t="s">
        <v>53</v>
      </c>
      <c r="CE63" s="28" t="s">
        <v>91</v>
      </c>
    </row>
    <row r="64" spans="1:84" x14ac:dyDescent="0.2">
      <c r="A64" s="27" t="str">
        <f>'1-zapasy'!B51</f>
        <v>POKORNÝ Martin (KST Blansko)</v>
      </c>
      <c r="B64" s="220" t="str">
        <f>'1-zapasy'!I51</f>
        <v/>
      </c>
      <c r="C64" s="220" t="e">
        <f>'3-zapasy'!#REF!</f>
        <v>#REF!</v>
      </c>
      <c r="D64" s="220" t="str">
        <f>'1-zapasy'!J51</f>
        <v/>
      </c>
      <c r="E64" s="27" t="str">
        <f>'1-zapasy'!C51</f>
        <v/>
      </c>
      <c r="F64" s="28">
        <f>COUNTBLANK('1-zapasy'!I51:'1-zapasy'!J51)</f>
        <v>2</v>
      </c>
      <c r="G64" s="28">
        <f>IF(AND(F64=0,OR($A64=$G62,$E64=$G62)),1,0)</f>
        <v>0</v>
      </c>
      <c r="H64" s="28">
        <f>IF(AND(F64=0,OR(AND($A64=$G62,$B64&gt;$D64),AND($E64=$G62,$D64&gt;$B64))),1,0)</f>
        <v>0</v>
      </c>
      <c r="I64" s="28">
        <f t="shared" ref="I64:I69" si="78">IF(AND(F64=0,G64=1,$B64=$D64),1,0)</f>
        <v>0</v>
      </c>
      <c r="J64" s="28">
        <f>IF(AND(F64=0,OR(AND($A64=$G62,$B64&lt;$D64),AND($E64=$G62,$D64&lt;$B64))),1,0)</f>
        <v>0</v>
      </c>
      <c r="K64" s="28">
        <f>IF(F64&gt;0,0,IF($A64=$G62,$B64,IF($E64=$G62,$D64,0)))</f>
        <v>0</v>
      </c>
      <c r="L64" s="28">
        <f>IF(F64&gt;0,0,IF($A64=$G62,$D64,IF($E64=$G62,$B64,0)))</f>
        <v>0</v>
      </c>
      <c r="M64">
        <f t="shared" ref="M64:M69" si="79">(($H64*$B$10)+$I64)</f>
        <v>0</v>
      </c>
      <c r="N64">
        <f>IF(AND(F64=0,OR($A64=$N62,$E64=$N62)),1,0)</f>
        <v>0</v>
      </c>
      <c r="O64">
        <f>IF(AND(F64=0,OR(AND($A64=$N62,$B64&gt;$D64),AND($E64=$N62,$D64&gt;$B64))),1,0)</f>
        <v>0</v>
      </c>
      <c r="P64">
        <f t="shared" ref="P64:P69" si="80">IF(AND(F64=0,N64=1,$B64=$D64),1,0)</f>
        <v>0</v>
      </c>
      <c r="Q64">
        <f>IF(AND(F64=0,OR(AND($A64=$N62,$B64&lt;$D64),AND($E64=$N62,$D64&lt;$B64))),1,0)</f>
        <v>0</v>
      </c>
      <c r="R64">
        <f>IF(F64&gt;0,0,IF($A64=$N62,$B64,IF($E64=$N62,$D64,0)))</f>
        <v>0</v>
      </c>
      <c r="S64">
        <f>IF(F64&gt;0,0,IF($A64=$N62,$D64,IF($E64=$N62,$B64,0)))</f>
        <v>0</v>
      </c>
      <c r="T64">
        <f t="shared" ref="T64:T69" si="81">(($O64*$B$10)+$P64)</f>
        <v>0</v>
      </c>
      <c r="U64">
        <f>IF(AND(F64=0,OR($A64=$U62,$E64=$U62)),1,0)</f>
        <v>0</v>
      </c>
      <c r="V64">
        <f>IF(AND(F64=0,OR(AND($A64=$U62,$B64&gt;$D64),AND($E64=$U62,$D64&gt;$B64))),1,0)</f>
        <v>0</v>
      </c>
      <c r="W64">
        <f t="shared" ref="W64:W69" si="82">IF(AND(F64=0,U64=1,$B64=$D64),1,0)</f>
        <v>0</v>
      </c>
      <c r="X64">
        <f>IF(AND(F64=0,OR(AND($A64=$U62,$B64&lt;$D64),AND($E64=$U62,$D64&lt;$B64))),1,0)</f>
        <v>0</v>
      </c>
      <c r="Y64">
        <f>IF(F64&gt;0,0,IF($A64=$U62,$B64,IF($E64=$U62,$D64,0)))</f>
        <v>0</v>
      </c>
      <c r="Z64">
        <f>IF(F64&gt;0,0,IF($A64=$U62,$D64,IF($E64=$U62,$B64,0)))</f>
        <v>0</v>
      </c>
      <c r="AA64">
        <f t="shared" ref="AA64:AA69" si="83">(($V64*$B$10)+$W64)</f>
        <v>0</v>
      </c>
      <c r="AB64">
        <f>IF(AND(F64=0,OR($A64=$AB62,$E64=$AB62)),1,0)</f>
        <v>0</v>
      </c>
      <c r="AC64">
        <f>IF(AND(F64=0,OR(AND($A64=$AB62,$B64&gt;$D64),AND($E64=$AB62,$D64&gt;$B64))),1,0)</f>
        <v>0</v>
      </c>
      <c r="AD64">
        <f t="shared" ref="AD64:AD69" si="84">IF(AND(F64=0,AB64=1,$B64=$D64),1,0)</f>
        <v>0</v>
      </c>
      <c r="AE64">
        <f>IF(AND(F64=0,OR(AND($A64=$AB62,$B64&lt;$D64),AND($E64=$AB62,$D64&lt;$B64))),1,0)</f>
        <v>0</v>
      </c>
      <c r="AF64">
        <f>IF(F64&gt;0,0,IF($A64=$AB62,$B64,IF($E64=$AB62,$D64,0)))</f>
        <v>0</v>
      </c>
      <c r="AG64">
        <f>IF(F64&gt;0,0,IF($A64=$AB62,$D64,IF($E64=$AB62,$B64,0)))</f>
        <v>0</v>
      </c>
      <c r="AH64">
        <f t="shared" ref="AH64:AH69" si="85">(($AC64*$B$10)+$AD64)</f>
        <v>0</v>
      </c>
      <c r="AJ64" s="28" t="str">
        <f>G62</f>
        <v>POKORNÝ Martin (KST Blansko)</v>
      </c>
      <c r="AK64" s="28">
        <f t="shared" ref="AK64:AQ64" si="86">G70</f>
        <v>2</v>
      </c>
      <c r="AL64" s="28">
        <f t="shared" si="86"/>
        <v>1</v>
      </c>
      <c r="AM64" s="28">
        <f t="shared" si="86"/>
        <v>0</v>
      </c>
      <c r="AN64" s="28">
        <f t="shared" si="86"/>
        <v>1</v>
      </c>
      <c r="AO64" s="28">
        <f t="shared" si="86"/>
        <v>4</v>
      </c>
      <c r="AP64" s="28">
        <f t="shared" si="86"/>
        <v>4</v>
      </c>
      <c r="AQ64" s="28">
        <f t="shared" si="86"/>
        <v>2</v>
      </c>
      <c r="AS64" s="28" t="str">
        <f>IF($AQ64&gt;=$AQ65,$AJ64,$AJ65)</f>
        <v>POKORNÝ Martin (KST Blansko)</v>
      </c>
      <c r="AT64" s="28">
        <f>VLOOKUP(AS64,$AJ64:$AQ67,8,FALSE)</f>
        <v>2</v>
      </c>
      <c r="AU64" s="28" t="str">
        <f>IF($AT64&gt;=$AT66,$AS64,$AS66)</f>
        <v>KRÁL Ondřej (SKST Hodonín)</v>
      </c>
      <c r="AV64" s="28">
        <f>VLOOKUP(AU64,$AS64:$AT67,2,FALSE)</f>
        <v>4</v>
      </c>
      <c r="AW64" s="28" t="str">
        <f>IF($AV64&gt;=$AV67,$AU64,$AU67)</f>
        <v>KRÁL Ondřej (SKST Hodonín)</v>
      </c>
      <c r="AX64" s="28">
        <f>VLOOKUP(AW64,$AU64:$AV67,2,FALSE)</f>
        <v>4</v>
      </c>
      <c r="AY64" s="28">
        <f>VLOOKUP(AW64,$AJ64:$AQ67,6,FALSE)</f>
        <v>6</v>
      </c>
      <c r="AZ64" s="28">
        <f>VLOOKUP(AW64,$AJ64:$AQ67,7,FALSE)</f>
        <v>1</v>
      </c>
      <c r="BA64" s="28">
        <f>AY64-AZ64</f>
        <v>5</v>
      </c>
      <c r="BB64" s="28" t="str">
        <f>IF(AND($AX64=$AX65,$BA65&gt;$BA64),$AW65,$AW64)</f>
        <v>KRÁL Ondřej (SKST Hodonín)</v>
      </c>
      <c r="BC64" s="28">
        <f>VLOOKUP(BB64,$AW64:$BA67,2,FALSE)</f>
        <v>4</v>
      </c>
      <c r="BD64" s="28">
        <f>VLOOKUP(BB64,$AW64:$BA67,5,FALSE)</f>
        <v>5</v>
      </c>
      <c r="BE64" s="28" t="str">
        <f>IF(AND($BC64=$BC66,$BD66&gt;$BD64),$BB66,$BB64)</f>
        <v>KRÁL Ondřej (SKST Hodonín)</v>
      </c>
      <c r="BF64" s="28">
        <f>VLOOKUP(BE64,$BB64:$BD67,2,FALSE)</f>
        <v>4</v>
      </c>
      <c r="BG64" s="28">
        <f>VLOOKUP(BE64,$BB64:$BD67,3,FALSE)</f>
        <v>5</v>
      </c>
      <c r="BH64" s="28" t="str">
        <f>IF(AND($BF64=$BF67,$BG67&gt;$BG64),$BE67,$BE64)</f>
        <v>KRÁL Ondřej (SKST Hodonín)</v>
      </c>
      <c r="BI64" s="28">
        <f>VLOOKUP(BH64,$BE64:$BG67,2,FALSE)</f>
        <v>4</v>
      </c>
      <c r="BJ64" s="28">
        <f>VLOOKUP(BH64,$BE64:$BG67,3,FALSE)</f>
        <v>5</v>
      </c>
      <c r="BK64" s="28">
        <f>VLOOKUP(BH64,$AJ64:$AQ67,6,FALSE)</f>
        <v>6</v>
      </c>
      <c r="BL64" s="28" t="str">
        <f>IF(AND($BI64=$BI65,$BJ64=$BJ65,$BK65&gt;$BK64),$BH65,$BH64)</f>
        <v>KRÁL Ondřej (SKST Hodonín)</v>
      </c>
      <c r="BM64" s="28">
        <f>VLOOKUP(BL64,$BH64:$BK67,2,FALSE)</f>
        <v>4</v>
      </c>
      <c r="BN64" s="28">
        <f>VLOOKUP(BL64,$BH64:$BK67,3,FALSE)</f>
        <v>5</v>
      </c>
      <c r="BO64" s="28">
        <f>VLOOKUP(BL64,$BH64:$BK67,4,FALSE)</f>
        <v>6</v>
      </c>
      <c r="BP64" s="28" t="str">
        <f>IF(AND($BM64=$BM66,$BN64=$BN66,$BO66&gt;$BO64),$BL66,$BL64)</f>
        <v>KRÁL Ondřej (SKST Hodonín)</v>
      </c>
      <c r="BQ64" s="28">
        <f>VLOOKUP(BP64,$BL64:$BO67,2,FALSE)</f>
        <v>4</v>
      </c>
      <c r="BR64" s="28">
        <f>VLOOKUP(BP64,$BL64:$BO67,3,FALSE)</f>
        <v>5</v>
      </c>
      <c r="BS64" s="28">
        <f>VLOOKUP(BP64,$BL64:$BO67,4,FALSE)</f>
        <v>6</v>
      </c>
      <c r="BT64" s="28" t="str">
        <f>IF(AND($BQ64=$BQ67,$BR64=$BR67,$BS67&gt;$BS64),$BP67,$BP64)</f>
        <v>KRÁL Ondřej (SKST Hodonín)</v>
      </c>
      <c r="BU64" s="28">
        <f>VLOOKUP(BT64,$BP64:$BS67,2,FALSE)</f>
        <v>4</v>
      </c>
      <c r="BV64" s="28">
        <f>VLOOKUP(BT64,$BP64:$BS67,3,FALSE)</f>
        <v>5</v>
      </c>
      <c r="BW64" s="28">
        <f>VLOOKUP(BT64,$BP64:$BS67,4,FALSE)</f>
        <v>6</v>
      </c>
      <c r="BX64" s="28" t="str">
        <f>BT64</f>
        <v>KRÁL Ondřej (SKST Hodonín)</v>
      </c>
      <c r="BY64" s="28">
        <f>VLOOKUP($BX64,$AJ64:$AQ67,2,FALSE)</f>
        <v>2</v>
      </c>
      <c r="BZ64" s="28">
        <f>VLOOKUP($BX64,$AJ64:$AQ67,3,FALSE)</f>
        <v>2</v>
      </c>
      <c r="CA64" s="28">
        <f>VLOOKUP($BX64,$AJ64:$AQ67,4,FALSE)</f>
        <v>0</v>
      </c>
      <c r="CB64" s="28">
        <f>VLOOKUP($BX64,$AJ64:$AQ67,5,FALSE)</f>
        <v>0</v>
      </c>
      <c r="CC64" s="28">
        <f>VLOOKUP($BX64,$AJ64:$AQ67,6,FALSE)</f>
        <v>6</v>
      </c>
      <c r="CD64" s="28">
        <f>VLOOKUP($BX64,$AJ64:$AQ67,7,FALSE)</f>
        <v>1</v>
      </c>
      <c r="CE64" s="28">
        <f>VLOOKUP($BX64,$AJ64:$AQ67,8,FALSE)</f>
        <v>4</v>
      </c>
      <c r="CF64" s="128" t="str">
        <f>CONCATENATE(CC64,":",CD64)</f>
        <v>6:1</v>
      </c>
    </row>
    <row r="65" spans="1:84" x14ac:dyDescent="0.2">
      <c r="A65" s="27" t="str">
        <f>'1-zapasy'!B52</f>
        <v>HAVRÁNEK Ondřej (TTC MS Brno)</v>
      </c>
      <c r="B65" s="220">
        <f>'1-zapasy'!I52</f>
        <v>0</v>
      </c>
      <c r="C65" s="220" t="e">
        <f>'3-zapasy'!#REF!</f>
        <v>#REF!</v>
      </c>
      <c r="D65" s="220">
        <f>'1-zapasy'!J52</f>
        <v>3</v>
      </c>
      <c r="E65" s="27" t="str">
        <f>'1-zapasy'!C52</f>
        <v>KRÁL Ondřej (SKST Hodonín)</v>
      </c>
      <c r="F65" s="28">
        <f>COUNTBLANK('1-zapasy'!I52:'1-zapasy'!J52)</f>
        <v>0</v>
      </c>
      <c r="G65" s="28">
        <f>IF(AND(F65=0,OR($A65=$G62,$E65=$G62)),1,0)</f>
        <v>0</v>
      </c>
      <c r="H65" s="28">
        <f>IF(AND(F65=0,OR(AND($A65=$G62,$B65&gt;$D65),AND($E65=$G62,$D65&gt;$B65))),1,0)</f>
        <v>0</v>
      </c>
      <c r="I65" s="28">
        <f t="shared" si="78"/>
        <v>0</v>
      </c>
      <c r="J65" s="28">
        <f>IF(AND(F65=0,OR(AND($A65=$G62,$B65&lt;$D65),AND($E65=$G62,$D65&lt;$B65))),1,0)</f>
        <v>0</v>
      </c>
      <c r="K65" s="28">
        <f>IF(F65&gt;0,0,IF($A65=$G62,$B65,IF($E65=$G62,$D65,0)))</f>
        <v>0</v>
      </c>
      <c r="L65" s="28">
        <f>IF(F65&gt;0,0,IF($A65=$G62,$D65,IF($E65=$G62,$B65,0)))</f>
        <v>0</v>
      </c>
      <c r="M65">
        <f t="shared" si="79"/>
        <v>0</v>
      </c>
      <c r="N65">
        <f>IF(AND(F65=0,OR($A65=$N62,$E65=$N62)),1,0)</f>
        <v>0</v>
      </c>
      <c r="O65">
        <f>IF(AND(F65=0,OR(AND($A65=$N62,$B65&gt;$D65),AND($E65=$N62,$D65&gt;$B65))),1,0)</f>
        <v>0</v>
      </c>
      <c r="P65">
        <f t="shared" si="80"/>
        <v>0</v>
      </c>
      <c r="Q65">
        <f>IF(AND(F65=0,OR(AND($A65=$N62,$B65&lt;$D65),AND($E65=$N62,$D65&lt;$B65))),1,0)</f>
        <v>0</v>
      </c>
      <c r="R65">
        <f>IF(F65&gt;0,0,IF($A65=$N62,$B65,IF($E65=$N62,$D65,0)))</f>
        <v>0</v>
      </c>
      <c r="S65">
        <f>IF(F65&gt;0,0,IF($A65=$N62,$D65,IF($E65=$N62,$B65,0)))</f>
        <v>0</v>
      </c>
      <c r="T65">
        <f t="shared" si="81"/>
        <v>0</v>
      </c>
      <c r="U65">
        <f>IF(AND(F65=0,OR($A65=$U62,$E65=$U62)),1,0)</f>
        <v>1</v>
      </c>
      <c r="V65">
        <f>IF(AND(F65=0,OR(AND($A65=$U62,$B65&gt;$D65),AND($E65=$U62,$D65&gt;$B65))),1,0)</f>
        <v>0</v>
      </c>
      <c r="W65">
        <f t="shared" si="82"/>
        <v>0</v>
      </c>
      <c r="X65">
        <f>IF(AND(F65=0,OR(AND($A65=$U62,$B65&lt;$D65),AND($E65=$U62,$D65&lt;$B65))),1,0)</f>
        <v>1</v>
      </c>
      <c r="Y65">
        <f>IF(F65&gt;0,0,IF($A65=$U62,$B65,IF($E65=$U62,$D65,0)))</f>
        <v>0</v>
      </c>
      <c r="Z65">
        <f>IF(F65&gt;0,0,IF($A65=$U62,$D65,IF($E65=$U62,$B65,0)))</f>
        <v>3</v>
      </c>
      <c r="AA65">
        <f t="shared" si="83"/>
        <v>0</v>
      </c>
      <c r="AB65">
        <f>IF(AND(F65=0,OR($A65=$AB62,$E65=$AB62)),1,0)</f>
        <v>1</v>
      </c>
      <c r="AC65">
        <f>IF(AND(F65=0,OR(AND($A65=$AB62,$B65&gt;$D65),AND($E65=$AB62,$D65&gt;$B65))),1,0)</f>
        <v>1</v>
      </c>
      <c r="AD65">
        <f t="shared" si="84"/>
        <v>0</v>
      </c>
      <c r="AE65">
        <f>IF(AND(F65=0,OR(AND($A65=$AB62,$B65&lt;$D65),AND($E65=$AB62,$D65&lt;$B65))),1,0)</f>
        <v>0</v>
      </c>
      <c r="AF65">
        <f>IF(F65&gt;0,0,IF($A65=$AB62,$B65,IF($E65=$AB62,$D65,0)))</f>
        <v>3</v>
      </c>
      <c r="AG65">
        <f>IF(F65&gt;0,0,IF($A65=$AB62,$D65,IF($E65=$AB62,$B65,0)))</f>
        <v>0</v>
      </c>
      <c r="AH65">
        <f t="shared" si="85"/>
        <v>2</v>
      </c>
      <c r="AJ65" s="28" t="str">
        <f>N62</f>
        <v/>
      </c>
      <c r="AK65" s="28">
        <f t="shared" ref="AK65:AQ65" si="87">N70</f>
        <v>0</v>
      </c>
      <c r="AL65" s="28">
        <f t="shared" si="87"/>
        <v>0</v>
      </c>
      <c r="AM65" s="28">
        <f t="shared" si="87"/>
        <v>0</v>
      </c>
      <c r="AN65" s="28">
        <f t="shared" si="87"/>
        <v>0</v>
      </c>
      <c r="AO65" s="28">
        <f t="shared" si="87"/>
        <v>0</v>
      </c>
      <c r="AP65" s="28">
        <f t="shared" si="87"/>
        <v>0</v>
      </c>
      <c r="AQ65" s="28">
        <f t="shared" si="87"/>
        <v>0</v>
      </c>
      <c r="AS65" s="28" t="str">
        <f>IF($AQ65&lt;=$AQ64,$AJ65,$AJ64)</f>
        <v/>
      </c>
      <c r="AT65" s="28">
        <f>VLOOKUP(AS65,$AJ64:$AQ67,8,FALSE)</f>
        <v>0</v>
      </c>
      <c r="AU65" s="28" t="str">
        <f>IF($AT65&gt;=$AT67,$AS65,$AS67)</f>
        <v/>
      </c>
      <c r="AV65" s="28">
        <f>VLOOKUP(AU65,$AS64:$AT67,2,FALSE)</f>
        <v>0</v>
      </c>
      <c r="AW65" s="28" t="str">
        <f>IF($AV65&gt;=$AV66,$AU65,$AU66)</f>
        <v>POKORNÝ Martin (KST Blansko)</v>
      </c>
      <c r="AX65" s="28">
        <f>VLOOKUP(AW65,$AU64:$AV67,2,FALSE)</f>
        <v>2</v>
      </c>
      <c r="AY65" s="28">
        <f>VLOOKUP(AW65,$AJ64:$AQ67,6,FALSE)</f>
        <v>4</v>
      </c>
      <c r="AZ65" s="28">
        <f>VLOOKUP(AW65,$AJ64:$AQ67,7,FALSE)</f>
        <v>4</v>
      </c>
      <c r="BA65" s="28">
        <f>AY65-AZ65</f>
        <v>0</v>
      </c>
      <c r="BB65" s="28" t="str">
        <f>IF(AND($AX64=$AX65,$BA65&gt;$BA64),$AW64,$AW65)</f>
        <v>POKORNÝ Martin (KST Blansko)</v>
      </c>
      <c r="BC65" s="28">
        <f>VLOOKUP(BB65,$AW64:$BA67,2,FALSE)</f>
        <v>2</v>
      </c>
      <c r="BD65" s="28">
        <f>VLOOKUP(BB65,$AW64:$BA67,5,FALSE)</f>
        <v>0</v>
      </c>
      <c r="BE65" s="28" t="str">
        <f>IF(AND($BC65=$BC67,$BD67&gt;$BD65),$BB67,$BB65)</f>
        <v>POKORNÝ Martin (KST Blansko)</v>
      </c>
      <c r="BF65" s="28">
        <f>VLOOKUP(BE65,$BB64:$BD67,2,FALSE)</f>
        <v>2</v>
      </c>
      <c r="BG65" s="28">
        <f>VLOOKUP(BE65,$BB64:$BD67,3,FALSE)</f>
        <v>0</v>
      </c>
      <c r="BH65" s="28" t="str">
        <f>IF(AND($BF65=$BF66,$BG66&gt;$BG65),$BE66,$BE65)</f>
        <v>POKORNÝ Martin (KST Blansko)</v>
      </c>
      <c r="BI65" s="28">
        <f>VLOOKUP(BH65,$BE64:$BG67,2,FALSE)</f>
        <v>2</v>
      </c>
      <c r="BJ65" s="28">
        <f>VLOOKUP(BH65,$BE64:$BG67,3,FALSE)</f>
        <v>0</v>
      </c>
      <c r="BK65" s="28">
        <f>VLOOKUP(BH65,$AJ64:$AQ67,6,FALSE)</f>
        <v>4</v>
      </c>
      <c r="BL65" s="28" t="str">
        <f>IF(AND($BI64=$BI65,$BJ64=$BJ65,$BK65&gt;$BK64),$BH64,$BH65)</f>
        <v>POKORNÝ Martin (KST Blansko)</v>
      </c>
      <c r="BM65" s="28">
        <f>VLOOKUP(BL65,$BH64:$BK67,2,FALSE)</f>
        <v>2</v>
      </c>
      <c r="BN65" s="28">
        <f>VLOOKUP(BL65,$BH64:$BK67,3,FALSE)</f>
        <v>0</v>
      </c>
      <c r="BO65" s="28">
        <f>VLOOKUP(BL65,$BH64:$BK67,4,FALSE)</f>
        <v>4</v>
      </c>
      <c r="BP65" s="28" t="str">
        <f>IF(AND($BM65=$BM67,$BN65=$BN67,$BO67&gt;$BO65),$BL67,$BL65)</f>
        <v>POKORNÝ Martin (KST Blansko)</v>
      </c>
      <c r="BQ65" s="28">
        <f>VLOOKUP(BP65,$BL64:$BO67,2,FALSE)</f>
        <v>2</v>
      </c>
      <c r="BR65" s="28">
        <f>VLOOKUP(BP65,$BL64:$BO67,3,FALSE)</f>
        <v>0</v>
      </c>
      <c r="BS65" s="28">
        <f>VLOOKUP(BP65,$BL64:$BO67,4,FALSE)</f>
        <v>4</v>
      </c>
      <c r="BT65" s="28" t="str">
        <f>IF(AND($BQ65=$BQ66,$BR65=$BR66,$BS66&gt;$BS65),$BP66,$BP65)</f>
        <v>POKORNÝ Martin (KST Blansko)</v>
      </c>
      <c r="BU65" s="28">
        <f>VLOOKUP(BT65,$BP64:$BS67,2,FALSE)</f>
        <v>2</v>
      </c>
      <c r="BV65" s="28">
        <f>VLOOKUP(BT65,$BP64:$BS67,3,FALSE)</f>
        <v>0</v>
      </c>
      <c r="BW65" s="28">
        <f>VLOOKUP(BT65,$BP64:$BS67,4,FALSE)</f>
        <v>4</v>
      </c>
      <c r="BX65" s="28" t="str">
        <f>BT65</f>
        <v>POKORNÝ Martin (KST Blansko)</v>
      </c>
      <c r="BY65" s="28">
        <f>VLOOKUP($BX65,$AJ64:$AQ67,2,FALSE)</f>
        <v>2</v>
      </c>
      <c r="BZ65" s="28">
        <f>VLOOKUP($BX65,$AJ64:$AQ67,3,FALSE)</f>
        <v>1</v>
      </c>
      <c r="CA65" s="28">
        <f>VLOOKUP($BX65,$AJ64:$AQ67,4,FALSE)</f>
        <v>0</v>
      </c>
      <c r="CB65" s="28">
        <f>VLOOKUP($BX65,$AJ64:$AQ67,5,FALSE)</f>
        <v>1</v>
      </c>
      <c r="CC65" s="28">
        <f>VLOOKUP($BX65,$AJ64:$AQ67,6,FALSE)</f>
        <v>4</v>
      </c>
      <c r="CD65" s="28">
        <f>VLOOKUP($BX65,$AJ64:$AQ67,7,FALSE)</f>
        <v>4</v>
      </c>
      <c r="CE65" s="28">
        <f>VLOOKUP($BX65,$AJ64:$AQ67,8,FALSE)</f>
        <v>2</v>
      </c>
      <c r="CF65" s="128" t="str">
        <f>CONCATENATE(CC65,":",CD65)</f>
        <v>4:4</v>
      </c>
    </row>
    <row r="66" spans="1:84" x14ac:dyDescent="0.2">
      <c r="A66" s="27" t="str">
        <f>'1-zapasy'!B53</f>
        <v/>
      </c>
      <c r="B66" s="220" t="str">
        <f>'1-zapasy'!I53</f>
        <v/>
      </c>
      <c r="C66" s="220" t="e">
        <f>'3-zapasy'!#REF!</f>
        <v>#REF!</v>
      </c>
      <c r="D66" s="220" t="str">
        <f>'1-zapasy'!J53</f>
        <v/>
      </c>
      <c r="E66" s="27" t="str">
        <f>'1-zapasy'!C53</f>
        <v>HAVRÁNEK Ondřej (TTC MS Brno)</v>
      </c>
      <c r="F66" s="28">
        <f>COUNTBLANK('1-zapasy'!I53:'1-zapasy'!J53)</f>
        <v>2</v>
      </c>
      <c r="G66" s="28">
        <f>IF(AND(F66=0,OR($A66=$G62,$E66=$G62)),1,0)</f>
        <v>0</v>
      </c>
      <c r="H66" s="28">
        <f>IF(AND(F66=0,OR(AND($A66=$G62,$B66&gt;$D66),AND($E66=$G62,$D66&gt;$B66))),1,0)</f>
        <v>0</v>
      </c>
      <c r="I66" s="28">
        <f t="shared" si="78"/>
        <v>0</v>
      </c>
      <c r="J66" s="28">
        <f>IF(AND(F66=0,OR(AND($A66=$G62,$B66&lt;$D66),AND($E66=$G62,$D66&lt;$B66))),1,0)</f>
        <v>0</v>
      </c>
      <c r="K66" s="28">
        <f>IF(F66&gt;0,0,IF($A66=$G62,$B66,IF($E66=$G62,$D66,0)))</f>
        <v>0</v>
      </c>
      <c r="L66" s="28">
        <f>IF(F66&gt;0,0,IF($A66=$G62,$D66,IF($E66=$G62,$B66,0)))</f>
        <v>0</v>
      </c>
      <c r="M66">
        <f t="shared" si="79"/>
        <v>0</v>
      </c>
      <c r="N66">
        <f>IF(AND(F66=0,OR($A66=$N62,$E66=$N62)),1,0)</f>
        <v>0</v>
      </c>
      <c r="O66">
        <f>IF(AND(F66=0,OR(AND($A66=$N62,$B66&gt;$D66),AND($E66=$N62,$D66&gt;$B66))),1,0)</f>
        <v>0</v>
      </c>
      <c r="P66">
        <f t="shared" si="80"/>
        <v>0</v>
      </c>
      <c r="Q66">
        <f>IF(AND(F66=0,OR(AND($A66=$N62,$B66&lt;$D66),AND($E66=$N62,$D66&lt;$B66))),1,0)</f>
        <v>0</v>
      </c>
      <c r="R66">
        <f>IF(F66&gt;0,0,IF($A66=$N62,$B66,IF($E66=$N62,$D66,0)))</f>
        <v>0</v>
      </c>
      <c r="S66">
        <f>IF(F66&gt;0,0,IF($A66=$N62,$D66,IF($E66=$N62,$B66,0)))</f>
        <v>0</v>
      </c>
      <c r="T66">
        <f t="shared" si="81"/>
        <v>0</v>
      </c>
      <c r="U66">
        <f>IF(AND(F66=0,OR($A66=$U62,$E66=$U62)),1,0)</f>
        <v>0</v>
      </c>
      <c r="V66">
        <f>IF(AND(F66=0,OR(AND($A66=$U62,$B66&gt;$D66),AND($E66=$U62,$D66&gt;$B66))),1,0)</f>
        <v>0</v>
      </c>
      <c r="W66">
        <f t="shared" si="82"/>
        <v>0</v>
      </c>
      <c r="X66">
        <f>IF(AND(F66=0,OR(AND($A66=$U62,$B66&lt;$D66),AND($E66=$U62,$D66&lt;$B66))),1,0)</f>
        <v>0</v>
      </c>
      <c r="Y66">
        <f>IF(F66&gt;0,0,IF($A66=$U62,$B66,IF($E66=$U62,$D66,0)))</f>
        <v>0</v>
      </c>
      <c r="Z66">
        <f>IF(F66&gt;0,0,IF($A66=$U62,$D66,IF($E66=$U62,$B66,0)))</f>
        <v>0</v>
      </c>
      <c r="AA66">
        <f t="shared" si="83"/>
        <v>0</v>
      </c>
      <c r="AB66">
        <f>IF(AND(F66=0,OR($A66=$AB62,$E66=$AB62)),1,0)</f>
        <v>0</v>
      </c>
      <c r="AC66">
        <f>IF(AND(F66=0,OR(AND($A66=$AB62,$B66&gt;$D66),AND($E66=$AB62,$D66&gt;$B66))),1,0)</f>
        <v>0</v>
      </c>
      <c r="AD66">
        <f t="shared" si="84"/>
        <v>0</v>
      </c>
      <c r="AE66">
        <f>IF(AND(F66=0,OR(AND($A66=$AB62,$B66&lt;$D66),AND($E66=$AB62,$D66&lt;$B66))),1,0)</f>
        <v>0</v>
      </c>
      <c r="AF66">
        <f>IF(F66&gt;0,0,IF($A66=$AB62,$B66,IF($E66=$AB62,$D66,0)))</f>
        <v>0</v>
      </c>
      <c r="AG66">
        <f>IF(F66&gt;0,0,IF($A66=$AB62,$D66,IF($E66=$AB62,$B66,0)))</f>
        <v>0</v>
      </c>
      <c r="AH66">
        <f t="shared" si="85"/>
        <v>0</v>
      </c>
      <c r="AJ66" s="28" t="str">
        <f>U62</f>
        <v>HAVRÁNEK Ondřej (TTC MS Brno)</v>
      </c>
      <c r="AK66" s="28">
        <f t="shared" ref="AK66:AQ66" si="88">U70</f>
        <v>2</v>
      </c>
      <c r="AL66" s="28">
        <f t="shared" si="88"/>
        <v>0</v>
      </c>
      <c r="AM66" s="28">
        <f t="shared" si="88"/>
        <v>0</v>
      </c>
      <c r="AN66" s="28">
        <f t="shared" si="88"/>
        <v>2</v>
      </c>
      <c r="AO66" s="28">
        <f t="shared" si="88"/>
        <v>1</v>
      </c>
      <c r="AP66" s="28">
        <f t="shared" si="88"/>
        <v>6</v>
      </c>
      <c r="AQ66" s="28">
        <f t="shared" si="88"/>
        <v>0</v>
      </c>
      <c r="AS66" s="28" t="str">
        <f>IF($AQ66&gt;=$AQ67,$AJ66,$AJ67)</f>
        <v>KRÁL Ondřej (SKST Hodonín)</v>
      </c>
      <c r="AT66" s="28">
        <f>VLOOKUP(AS66,$AJ64:$AQ67,8,FALSE)</f>
        <v>4</v>
      </c>
      <c r="AU66" s="28" t="str">
        <f>IF($AT66&lt;=$AT64,$AS66,$AS64)</f>
        <v>POKORNÝ Martin (KST Blansko)</v>
      </c>
      <c r="AV66" s="28">
        <f>VLOOKUP(AU66,$AS64:$AT67,2,FALSE)</f>
        <v>2</v>
      </c>
      <c r="AW66" s="28" t="str">
        <f>IF($AV66&lt;=$AV65,$AU66,$AU65)</f>
        <v/>
      </c>
      <c r="AX66" s="28">
        <f>VLOOKUP(AW66,$AU64:$AV67,2,FALSE)</f>
        <v>0</v>
      </c>
      <c r="AY66" s="28">
        <f>VLOOKUP(AW66,$AJ64:$AQ67,6,FALSE)</f>
        <v>0</v>
      </c>
      <c r="AZ66" s="28">
        <f>VLOOKUP(AW66,$AJ64:$AQ67,7,FALSE)</f>
        <v>0</v>
      </c>
      <c r="BA66" s="28">
        <f>AY66-AZ66</f>
        <v>0</v>
      </c>
      <c r="BB66" s="28" t="str">
        <f>IF(AND($AX66=$AX67,$BA67&gt;$BA66),$AW67,$AW66)</f>
        <v/>
      </c>
      <c r="BC66" s="28">
        <f>VLOOKUP(BB66,$AW64:$BA67,2,FALSE)</f>
        <v>0</v>
      </c>
      <c r="BD66" s="28">
        <f>VLOOKUP(BB66,$AW64:$BA67,5,FALSE)</f>
        <v>0</v>
      </c>
      <c r="BE66" s="28" t="str">
        <f>IF(AND($BC64=$BC66,$BD66&gt;$BD64),$BB64,$BB66)</f>
        <v/>
      </c>
      <c r="BF66" s="28">
        <f>VLOOKUP(BE66,$BB64:$BD67,2,FALSE)</f>
        <v>0</v>
      </c>
      <c r="BG66" s="28">
        <f>VLOOKUP(BE66,$BB64:$BD67,3,FALSE)</f>
        <v>0</v>
      </c>
      <c r="BH66" s="28" t="str">
        <f>IF(AND($BF65=$BF66,$BG66&gt;$BG65),$BE65,$BE66)</f>
        <v/>
      </c>
      <c r="BI66" s="28">
        <f>VLOOKUP(BH66,$BE64:$BG67,2,FALSE)</f>
        <v>0</v>
      </c>
      <c r="BJ66" s="28">
        <f>VLOOKUP(BH66,$BE64:$BG67,3,FALSE)</f>
        <v>0</v>
      </c>
      <c r="BK66" s="28">
        <f>VLOOKUP(BH66,$AJ64:$AQ67,6,FALSE)</f>
        <v>0</v>
      </c>
      <c r="BL66" s="28" t="str">
        <f>IF(AND($BI66=$BI67,$BJ66=$BJ67,$BK67&gt;$BK66),$BH67,$BH66)</f>
        <v/>
      </c>
      <c r="BM66" s="28">
        <f>VLOOKUP(BL66,$BH64:$BK67,2,FALSE)</f>
        <v>0</v>
      </c>
      <c r="BN66" s="28">
        <f>VLOOKUP(BL66,$BH64:$BK67,3,FALSE)</f>
        <v>0</v>
      </c>
      <c r="BO66" s="28">
        <f>VLOOKUP(BL66,$BH64:$BK67,4,FALSE)</f>
        <v>0</v>
      </c>
      <c r="BP66" s="28" t="str">
        <f>IF(AND($BM64=$BM66,$BN64=$BN66,$BO66&gt;$BO64),$BL64,$BL66)</f>
        <v/>
      </c>
      <c r="BQ66" s="28">
        <f>VLOOKUP(BP66,$BL64:$BO67,2,FALSE)</f>
        <v>0</v>
      </c>
      <c r="BR66" s="28">
        <f>VLOOKUP(BP66,$BL64:$BO67,3,FALSE)</f>
        <v>0</v>
      </c>
      <c r="BS66" s="28">
        <f>VLOOKUP(BP66,$BL64:$BO67,4,FALSE)</f>
        <v>0</v>
      </c>
      <c r="BT66" s="28" t="str">
        <f>IF(AND($BQ65=$BQ66,$BR65=$BR66,$BS66&gt;$BS65),$BP65,$BP66)</f>
        <v/>
      </c>
      <c r="BU66" s="28">
        <f>VLOOKUP(BT66,$BP64:$BS67,2,FALSE)</f>
        <v>0</v>
      </c>
      <c r="BV66" s="28">
        <f>VLOOKUP(BT66,$BP64:$BS67,3,FALSE)</f>
        <v>0</v>
      </c>
      <c r="BW66" s="28">
        <f>VLOOKUP(BT66,$BP64:$BS67,4,FALSE)</f>
        <v>0</v>
      </c>
      <c r="BX66" s="28" t="str">
        <f>BT66</f>
        <v/>
      </c>
      <c r="BY66" s="28">
        <f>VLOOKUP($BX66,$AJ64:$AQ67,2,FALSE)</f>
        <v>0</v>
      </c>
      <c r="BZ66" s="28">
        <f>VLOOKUP($BX66,$AJ64:$AQ67,3,FALSE)</f>
        <v>0</v>
      </c>
      <c r="CA66" s="28">
        <f>VLOOKUP($BX66,$AJ64:$AQ67,4,FALSE)</f>
        <v>0</v>
      </c>
      <c r="CB66" s="28">
        <f>VLOOKUP($BX66,$AJ64:$AQ67,5,FALSE)</f>
        <v>0</v>
      </c>
      <c r="CC66" s="28">
        <f>VLOOKUP($BX66,$AJ64:$AQ67,6,FALSE)</f>
        <v>0</v>
      </c>
      <c r="CD66" s="28">
        <f>VLOOKUP($BX66,$AJ64:$AQ67,7,FALSE)</f>
        <v>0</v>
      </c>
      <c r="CE66" s="28">
        <f>VLOOKUP($BX66,$AJ64:$AQ67,8,FALSE)</f>
        <v>0</v>
      </c>
      <c r="CF66" s="128" t="str">
        <f>CONCATENATE(CC66,":",CD66)</f>
        <v>0:0</v>
      </c>
    </row>
    <row r="67" spans="1:84" x14ac:dyDescent="0.2">
      <c r="A67" s="27" t="str">
        <f>'1-zapasy'!B54</f>
        <v>KRÁL Ondřej (SKST Hodonín)</v>
      </c>
      <c r="B67" s="220">
        <f>'1-zapasy'!I54</f>
        <v>3</v>
      </c>
      <c r="C67" s="220" t="e">
        <f>'3-zapasy'!#REF!</f>
        <v>#REF!</v>
      </c>
      <c r="D67" s="220">
        <f>'1-zapasy'!J54</f>
        <v>1</v>
      </c>
      <c r="E67" s="27" t="str">
        <f>'1-zapasy'!C54</f>
        <v>POKORNÝ Martin (KST Blansko)</v>
      </c>
      <c r="F67" s="28">
        <f>COUNTBLANK('1-zapasy'!I54:'1-zapasy'!J54)</f>
        <v>0</v>
      </c>
      <c r="G67" s="28">
        <f>IF(AND(F67=0,OR($A67=$G62,$E67=$G62)),1,0)</f>
        <v>1</v>
      </c>
      <c r="H67" s="28">
        <f>IF(AND(F67=0,OR(AND($A67=$G62,$B67&gt;$D67),AND($E67=$G62,$D67&gt;$B67))),1,0)</f>
        <v>0</v>
      </c>
      <c r="I67" s="28">
        <f t="shared" si="78"/>
        <v>0</v>
      </c>
      <c r="J67" s="28">
        <f>IF(AND(F67=0,OR(AND($A67=$G62,$B67&lt;$D67),AND($E67=$G62,$D67&lt;$B67))),1,0)</f>
        <v>1</v>
      </c>
      <c r="K67" s="28">
        <f>IF(F67&gt;0,0,IF($A67=$G62,$B67,IF($E67=$G62,$D67,0)))</f>
        <v>1</v>
      </c>
      <c r="L67" s="28">
        <f>IF(F67&gt;0,0,IF($A67=$G62,$D67,IF($E67=$G62,$B67,0)))</f>
        <v>3</v>
      </c>
      <c r="M67">
        <f t="shared" si="79"/>
        <v>0</v>
      </c>
      <c r="N67">
        <f>IF(AND(F67=0,OR($A67=$N62,$E67=$N62)),1,0)</f>
        <v>0</v>
      </c>
      <c r="O67">
        <f>IF(AND(F67=0,OR(AND($A67=$N62,$B67&gt;$D67),AND($E67=$N62,$D67&gt;$B67))),1,0)</f>
        <v>0</v>
      </c>
      <c r="P67">
        <f t="shared" si="80"/>
        <v>0</v>
      </c>
      <c r="Q67">
        <f>IF(AND(F67=0,OR(AND($A67=$N62,$B67&lt;$D67),AND($E67=$N62,$D67&lt;$B67))),1,0)</f>
        <v>0</v>
      </c>
      <c r="R67">
        <f>IF(F67&gt;0,0,IF($A67=$N62,$B67,IF($E67=$N62,$D67,0)))</f>
        <v>0</v>
      </c>
      <c r="S67">
        <f>IF(F67&gt;0,0,IF($A67=$N62,$D67,IF($E67=$N62,$B67,0)))</f>
        <v>0</v>
      </c>
      <c r="T67">
        <f t="shared" si="81"/>
        <v>0</v>
      </c>
      <c r="U67">
        <f>IF(AND(F67=0,OR($A67=$U62,$E67=$U62)),1,0)</f>
        <v>0</v>
      </c>
      <c r="V67">
        <f>IF(AND(F67=0,OR(AND($A67=$U62,$B67&gt;$D67),AND($E67=$U62,$D67&gt;$B67))),1,0)</f>
        <v>0</v>
      </c>
      <c r="W67">
        <f t="shared" si="82"/>
        <v>0</v>
      </c>
      <c r="X67">
        <f>IF(AND(F67=0,OR(AND($A67=$U62,$B67&lt;$D67),AND($E67=$U62,$D67&lt;$B67))),1,0)</f>
        <v>0</v>
      </c>
      <c r="Y67">
        <f>IF(F67&gt;0,0,IF($A67=$U62,$B67,IF($E67=$U62,$D67,0)))</f>
        <v>0</v>
      </c>
      <c r="Z67">
        <f>IF(F67&gt;0,0,IF($A67=$U62,$D67,IF($E67=$U62,$B67,0)))</f>
        <v>0</v>
      </c>
      <c r="AA67">
        <f t="shared" si="83"/>
        <v>0</v>
      </c>
      <c r="AB67">
        <f>IF(AND(F67=0,OR($A67=$AB62,$E67=$AB62)),1,0)</f>
        <v>1</v>
      </c>
      <c r="AC67">
        <f>IF(AND(F67=0,OR(AND($A67=$AB62,$B67&gt;$D67),AND($E67=$AB62,$D67&gt;$B67))),1,0)</f>
        <v>1</v>
      </c>
      <c r="AD67">
        <f t="shared" si="84"/>
        <v>0</v>
      </c>
      <c r="AE67">
        <f>IF(AND(F67=0,OR(AND($A67=$AB62,$B67&lt;$D67),AND($E67=$AB62,$D67&lt;$B67))),1,0)</f>
        <v>0</v>
      </c>
      <c r="AF67">
        <f>IF(F67&gt;0,0,IF($A67=$AB62,$B67,IF($E67=$AB62,$D67,0)))</f>
        <v>3</v>
      </c>
      <c r="AG67">
        <f>IF(F67&gt;0,0,IF($A67=$AB62,$D67,IF($E67=$AB62,$B67,0)))</f>
        <v>1</v>
      </c>
      <c r="AH67">
        <f t="shared" si="85"/>
        <v>2</v>
      </c>
      <c r="AJ67" s="28" t="str">
        <f>AB62</f>
        <v>KRÁL Ondřej (SKST Hodonín)</v>
      </c>
      <c r="AK67" s="28">
        <f t="shared" ref="AK67:AQ67" si="89">AB70</f>
        <v>2</v>
      </c>
      <c r="AL67" s="28">
        <f t="shared" si="89"/>
        <v>2</v>
      </c>
      <c r="AM67" s="28">
        <f t="shared" si="89"/>
        <v>0</v>
      </c>
      <c r="AN67" s="28">
        <f t="shared" si="89"/>
        <v>0</v>
      </c>
      <c r="AO67" s="28">
        <f t="shared" si="89"/>
        <v>6</v>
      </c>
      <c r="AP67" s="28">
        <f t="shared" si="89"/>
        <v>1</v>
      </c>
      <c r="AQ67" s="28">
        <f t="shared" si="89"/>
        <v>4</v>
      </c>
      <c r="AS67" s="28" t="str">
        <f>IF($AQ67&lt;=$AQ66,$AJ67,$AJ66)</f>
        <v>HAVRÁNEK Ondřej (TTC MS Brno)</v>
      </c>
      <c r="AT67" s="28">
        <f>VLOOKUP(AS67,$AJ64:$AQ67,8,FALSE)</f>
        <v>0</v>
      </c>
      <c r="AU67" s="28" t="str">
        <f>IF($AT67&lt;=$AT65,$AS67,$AS65)</f>
        <v>HAVRÁNEK Ondřej (TTC MS Brno)</v>
      </c>
      <c r="AV67" s="28">
        <f>VLOOKUP(AU67,$AS64:$AT67,2,FALSE)</f>
        <v>0</v>
      </c>
      <c r="AW67" s="28" t="str">
        <f>IF($AV67&lt;=$AV64,$AU67,$AU64)</f>
        <v>HAVRÁNEK Ondřej (TTC MS Brno)</v>
      </c>
      <c r="AX67" s="28">
        <f>VLOOKUP(AW67,$AU64:$AV67,2,FALSE)</f>
        <v>0</v>
      </c>
      <c r="AY67" s="28">
        <f>VLOOKUP(AW67,$AJ64:$AQ67,6,FALSE)</f>
        <v>1</v>
      </c>
      <c r="AZ67" s="28">
        <f>VLOOKUP(AW67,$AJ64:$AQ67,7,FALSE)</f>
        <v>6</v>
      </c>
      <c r="BA67" s="28">
        <f>AY67-AZ67</f>
        <v>-5</v>
      </c>
      <c r="BB67" s="28" t="str">
        <f>IF(AND($AX66=$AX67,$BA67&gt;$BA66),$AW66,$AW67)</f>
        <v>HAVRÁNEK Ondřej (TTC MS Brno)</v>
      </c>
      <c r="BC67" s="28">
        <f>VLOOKUP(BB67,$AW64:$BA67,2,FALSE)</f>
        <v>0</v>
      </c>
      <c r="BD67" s="28">
        <f>VLOOKUP(BB67,$AW64:$BA67,5,FALSE)</f>
        <v>-5</v>
      </c>
      <c r="BE67" s="28" t="str">
        <f>IF(AND($BC65=$BC67,$BD67&gt;$BD65),$BB65,$BB67)</f>
        <v>HAVRÁNEK Ondřej (TTC MS Brno)</v>
      </c>
      <c r="BF67" s="28">
        <f>VLOOKUP(BE67,$BB64:$BD67,2,FALSE)</f>
        <v>0</v>
      </c>
      <c r="BG67" s="28">
        <f>VLOOKUP(BE67,$BB64:$BD67,3,FALSE)</f>
        <v>-5</v>
      </c>
      <c r="BH67" s="28" t="str">
        <f>IF(AND($BF64=$BF67,$BG67&gt;$BG64),$BE64,$BE67)</f>
        <v>HAVRÁNEK Ondřej (TTC MS Brno)</v>
      </c>
      <c r="BI67" s="28">
        <f>VLOOKUP(BH67,$BE64:$BG67,2,FALSE)</f>
        <v>0</v>
      </c>
      <c r="BJ67" s="28">
        <f>VLOOKUP(BH67,$BE64:$BG67,3,FALSE)</f>
        <v>-5</v>
      </c>
      <c r="BK67" s="28">
        <f>VLOOKUP(BH67,$AJ64:$AQ67,6,FALSE)</f>
        <v>1</v>
      </c>
      <c r="BL67" s="28" t="str">
        <f>IF(AND($BI66=$BI67,$BJ66=$BJ67,$BK67&gt;$BK66),$BH66,$BH67)</f>
        <v>HAVRÁNEK Ondřej (TTC MS Brno)</v>
      </c>
      <c r="BM67" s="28">
        <f>VLOOKUP(BL67,$BH64:$BK67,2,FALSE)</f>
        <v>0</v>
      </c>
      <c r="BN67" s="28">
        <f>VLOOKUP(BL67,$BH64:$BK67,3,FALSE)</f>
        <v>-5</v>
      </c>
      <c r="BO67" s="28">
        <f>VLOOKUP(BL67,$BH64:$BK67,4,FALSE)</f>
        <v>1</v>
      </c>
      <c r="BP67" s="28" t="str">
        <f>IF(AND($BM65=$BM67,$BN65=$BN67,$BO67&gt;$BO65),$BL65,$BL67)</f>
        <v>HAVRÁNEK Ondřej (TTC MS Brno)</v>
      </c>
      <c r="BQ67" s="28">
        <f>VLOOKUP(BP67,$BL64:$BO67,2,FALSE)</f>
        <v>0</v>
      </c>
      <c r="BR67" s="28">
        <f>VLOOKUP(BP67,$BL64:$BO67,3,FALSE)</f>
        <v>-5</v>
      </c>
      <c r="BS67" s="28">
        <f>VLOOKUP(BP67,$BL64:$BO67,4,FALSE)</f>
        <v>1</v>
      </c>
      <c r="BT67" s="28" t="str">
        <f>IF(AND($BQ64=$BQ67,$BR64=$BR67,$BS67&gt;$BS64),$BP64,$BP67)</f>
        <v>HAVRÁNEK Ondřej (TTC MS Brno)</v>
      </c>
      <c r="BU67" s="28">
        <f>VLOOKUP(BT67,$BP64:$BS67,2,FALSE)</f>
        <v>0</v>
      </c>
      <c r="BV67" s="28">
        <f>VLOOKUP(BT67,$BP64:$BS67,3,FALSE)</f>
        <v>-5</v>
      </c>
      <c r="BW67" s="28">
        <f>VLOOKUP(BT67,$BP64:$BS67,4,FALSE)</f>
        <v>1</v>
      </c>
      <c r="BX67" s="28" t="str">
        <f>BT67</f>
        <v>HAVRÁNEK Ondřej (TTC MS Brno)</v>
      </c>
      <c r="BY67" s="28">
        <f>VLOOKUP($BX67,$AJ64:$AQ67,2,FALSE)</f>
        <v>2</v>
      </c>
      <c r="BZ67" s="28">
        <f>VLOOKUP($BX67,$AJ64:$AQ67,3,FALSE)</f>
        <v>0</v>
      </c>
      <c r="CA67" s="28">
        <f>VLOOKUP($BX67,$AJ64:$AQ67,4,FALSE)</f>
        <v>0</v>
      </c>
      <c r="CB67" s="28">
        <f>VLOOKUP($BX67,$AJ64:$AQ67,5,FALSE)</f>
        <v>2</v>
      </c>
      <c r="CC67" s="28">
        <f>VLOOKUP($BX67,$AJ64:$AQ67,6,FALSE)</f>
        <v>1</v>
      </c>
      <c r="CD67" s="28">
        <f>VLOOKUP($BX67,$AJ64:$AQ67,7,FALSE)</f>
        <v>6</v>
      </c>
      <c r="CE67" s="28">
        <f>VLOOKUP($BX67,$AJ64:$AQ67,8,FALSE)</f>
        <v>0</v>
      </c>
      <c r="CF67" s="128" t="str">
        <f>CONCATENATE(CC67,":",CD67)</f>
        <v>1:6</v>
      </c>
    </row>
    <row r="68" spans="1:84" x14ac:dyDescent="0.2">
      <c r="A68" s="27" t="str">
        <f>'1-zapasy'!B55</f>
        <v>KRÁL Ondřej (SKST Hodonín)</v>
      </c>
      <c r="B68" s="220" t="str">
        <f>'1-zapasy'!I55</f>
        <v/>
      </c>
      <c r="C68" s="220" t="e">
        <f>'3-zapasy'!#REF!</f>
        <v>#REF!</v>
      </c>
      <c r="D68" s="220" t="str">
        <f>'1-zapasy'!J55</f>
        <v/>
      </c>
      <c r="E68" s="27" t="str">
        <f>'1-zapasy'!C55</f>
        <v/>
      </c>
      <c r="F68" s="28">
        <f>COUNTBLANK('1-zapasy'!I55:'1-zapasy'!J55)</f>
        <v>2</v>
      </c>
      <c r="G68" s="28">
        <f>IF(AND(F68=0,OR($A68=$G62,$E68=$G62)),1,0)</f>
        <v>0</v>
      </c>
      <c r="H68" s="28">
        <f>IF(AND(F68=0,OR(AND($A68=$G62,$B68&gt;$D68),AND($E68=$G62,$D68&gt;$B68))),1,0)</f>
        <v>0</v>
      </c>
      <c r="I68" s="28">
        <f t="shared" si="78"/>
        <v>0</v>
      </c>
      <c r="J68" s="28">
        <f>IF(AND(F68=0,OR(AND($A68=$G62,$B68&lt;$D68),AND($E68=$G62,$D68&lt;$B68))),1,0)</f>
        <v>0</v>
      </c>
      <c r="K68" s="28">
        <f>IF(F68&gt;0,0,IF($A68=$G62,$B68,IF($E68=$G62,$D68,0)))</f>
        <v>0</v>
      </c>
      <c r="L68" s="28">
        <f>IF(F68&gt;0,0,IF($A68=$G62,$D68,IF($E68=$G62,$B68,0)))</f>
        <v>0</v>
      </c>
      <c r="M68">
        <f t="shared" si="79"/>
        <v>0</v>
      </c>
      <c r="N68">
        <f>IF(AND(F68=0,OR($A68=$N62,$E68=$N62)),1,0)</f>
        <v>0</v>
      </c>
      <c r="O68">
        <f>IF(AND(F68=0,OR(AND($A68=$N62,$B68&gt;$D68),AND($E68=$N62,$D68&gt;$B68))),1,0)</f>
        <v>0</v>
      </c>
      <c r="P68">
        <f t="shared" si="80"/>
        <v>0</v>
      </c>
      <c r="Q68">
        <f>IF(AND(F68=0,OR(AND($A68=$N62,$B68&lt;$D68),AND($E68=$N62,$D68&lt;$B68))),1,0)</f>
        <v>0</v>
      </c>
      <c r="R68">
        <f>IF(F68&gt;0,0,IF($A68=$N62,$B68,IF($E68=$N62,$D68,0)))</f>
        <v>0</v>
      </c>
      <c r="S68">
        <f>IF(F68&gt;0,0,IF($A68=$N62,$D68,IF($E68=$N62,$B68,0)))</f>
        <v>0</v>
      </c>
      <c r="T68">
        <f t="shared" si="81"/>
        <v>0</v>
      </c>
      <c r="U68">
        <f>IF(AND(F68=0,OR($A68=$U62,$E68=$U62)),1,0)</f>
        <v>0</v>
      </c>
      <c r="V68">
        <f>IF(AND(F68=0,OR(AND($A68=$U62,$B68&gt;$D68),AND($E68=$U62,$D68&gt;$B68))),1,0)</f>
        <v>0</v>
      </c>
      <c r="W68">
        <f t="shared" si="82"/>
        <v>0</v>
      </c>
      <c r="X68">
        <f>IF(AND(F68=0,OR(AND($A68=$U62,$B68&lt;$D68),AND($E68=$U62,$D68&lt;$B68))),1,0)</f>
        <v>0</v>
      </c>
      <c r="Y68">
        <f>IF(F68&gt;0,0,IF($A68=$U62,$B68,IF($E68=$U62,$D68,0)))</f>
        <v>0</v>
      </c>
      <c r="Z68">
        <f>IF(F68&gt;0,0,IF($A68=$U62,$D68,IF($E68=$U62,$B68,0)))</f>
        <v>0</v>
      </c>
      <c r="AA68">
        <f t="shared" si="83"/>
        <v>0</v>
      </c>
      <c r="AB68">
        <f>IF(AND(F68=0,OR($A68=$AB62,$E68=$AB62)),1,0)</f>
        <v>0</v>
      </c>
      <c r="AC68">
        <f>IF(AND(F68=0,OR(AND($A68=$AB62,$B68&gt;$D68),AND($E68=$AB62,$D68&gt;$B68))),1,0)</f>
        <v>0</v>
      </c>
      <c r="AD68">
        <f t="shared" si="84"/>
        <v>0</v>
      </c>
      <c r="AE68">
        <f>IF(AND(F68=0,OR(AND($A68=$AB62,$B68&lt;$D68),AND($E68=$AB62,$D68&lt;$B68))),1,0)</f>
        <v>0</v>
      </c>
      <c r="AF68">
        <f>IF(F68&gt;0,0,IF($A68=$AB62,$B68,IF($E68=$AB62,$D68,0)))</f>
        <v>0</v>
      </c>
      <c r="AG68">
        <f>IF(F68&gt;0,0,IF($A68=$AB62,$D68,IF($E68=$AB62,$B68,0)))</f>
        <v>0</v>
      </c>
      <c r="AH68">
        <f t="shared" si="85"/>
        <v>0</v>
      </c>
    </row>
    <row r="69" spans="1:84" x14ac:dyDescent="0.2">
      <c r="A69" s="27" t="str">
        <f>'1-zapasy'!B56</f>
        <v>POKORNÝ Martin (KST Blansko)</v>
      </c>
      <c r="B69" s="220">
        <f>'1-zapasy'!I56</f>
        <v>3</v>
      </c>
      <c r="C69" s="220" t="e">
        <f>'3-zapasy'!#REF!</f>
        <v>#REF!</v>
      </c>
      <c r="D69" s="220">
        <f>'1-zapasy'!J56</f>
        <v>1</v>
      </c>
      <c r="E69" s="27" t="str">
        <f>'1-zapasy'!C56</f>
        <v>HAVRÁNEK Ondřej (TTC MS Brno)</v>
      </c>
      <c r="F69" s="28">
        <f>COUNTBLANK('1-zapasy'!I56:'1-zapasy'!J56)</f>
        <v>0</v>
      </c>
      <c r="G69" s="28">
        <f>IF(AND(F69=0,OR($A69=$G62,$E69=$G62)),1,0)</f>
        <v>1</v>
      </c>
      <c r="H69" s="28">
        <f>IF(AND(F69=0,OR(AND($A69=$G62,$B69&gt;$D69),AND($E69=$G62,$D69&gt;$B69))),1,0)</f>
        <v>1</v>
      </c>
      <c r="I69" s="28">
        <f t="shared" si="78"/>
        <v>0</v>
      </c>
      <c r="J69" s="28">
        <f>IF(AND(F69=0,OR(AND($A69=$G62,$B69&lt;$D69),AND($E69=$G62,$D69&lt;$B69))),1,0)</f>
        <v>0</v>
      </c>
      <c r="K69" s="28">
        <f>IF(F69&gt;0,0,IF($A69=$G62,$B69,IF($E69=$G62,$D69,0)))</f>
        <v>3</v>
      </c>
      <c r="L69" s="28">
        <f>IF(F69&gt;0,0,IF($A69=$G62,$D69,IF($E69=$G62,$B69,0)))</f>
        <v>1</v>
      </c>
      <c r="M69">
        <f t="shared" si="79"/>
        <v>2</v>
      </c>
      <c r="N69">
        <f>IF(AND(F69=0,OR($A69=$N62,$E69=$N62)),1,0)</f>
        <v>0</v>
      </c>
      <c r="O69">
        <f>IF(AND(F69=0,OR(AND($A69=$N62,$B69&gt;$D69),AND($E69=$N62,$D69&gt;$B69))),1,0)</f>
        <v>0</v>
      </c>
      <c r="P69">
        <f t="shared" si="80"/>
        <v>0</v>
      </c>
      <c r="Q69">
        <f>IF(AND(F69=0,OR(AND($A69=$N62,$B69&lt;$D69),AND($E69=$N62,$D69&lt;$B69))),1,0)</f>
        <v>0</v>
      </c>
      <c r="R69">
        <f>IF(F69&gt;0,0,IF($A69=$N62,$B69,IF($E69=$N62,$D69,0)))</f>
        <v>0</v>
      </c>
      <c r="S69">
        <f>IF(F69&gt;0,0,IF($A69=$N62,$D69,IF($E69=$N62,$B69,0)))</f>
        <v>0</v>
      </c>
      <c r="T69">
        <f t="shared" si="81"/>
        <v>0</v>
      </c>
      <c r="U69">
        <f>IF(AND(F69=0,OR($A69=$U62,$E69=$U62)),1,0)</f>
        <v>1</v>
      </c>
      <c r="V69">
        <f>IF(AND(F69=0,OR(AND($A69=$U62,$B69&gt;$D69),AND($E69=$U62,$D69&gt;$B69))),1,0)</f>
        <v>0</v>
      </c>
      <c r="W69">
        <f t="shared" si="82"/>
        <v>0</v>
      </c>
      <c r="X69">
        <f>IF(AND(F69=0,OR(AND($A69=$U62,$B69&lt;$D69),AND($E69=$U62,$D69&lt;$B69))),1,0)</f>
        <v>1</v>
      </c>
      <c r="Y69">
        <f>IF(F69&gt;0,0,IF($A69=$U62,$B69,IF($E69=$U62,$D69,0)))</f>
        <v>1</v>
      </c>
      <c r="Z69">
        <f>IF(F69&gt;0,0,IF($A69=$U62,$D69,IF($E69=$U62,$B69,0)))</f>
        <v>3</v>
      </c>
      <c r="AA69">
        <f t="shared" si="83"/>
        <v>0</v>
      </c>
      <c r="AB69">
        <f>IF(AND(F69=0,OR($A69=$AB62,$E69=$AB62)),1,0)</f>
        <v>0</v>
      </c>
      <c r="AC69">
        <f>IF(AND(F69=0,OR(AND($A69=$AB62,$B69&gt;$D69),AND($E69=$AB62,$D69&gt;$B69))),1,0)</f>
        <v>0</v>
      </c>
      <c r="AD69">
        <f t="shared" si="84"/>
        <v>0</v>
      </c>
      <c r="AE69">
        <f>IF(AND(F69=0,OR(AND($A69=$AB62,$B69&lt;$D69),AND($E69=$AB62,$D69&lt;$B69))),1,0)</f>
        <v>0</v>
      </c>
      <c r="AF69">
        <f>IF(F69&gt;0,0,IF($A69=$AB62,$B69,IF($E69=$AB62,$D69,0)))</f>
        <v>0</v>
      </c>
      <c r="AG69">
        <f>IF(F69&gt;0,0,IF($A69=$AB62,$D69,IF($E69=$AB62,$B69,0)))</f>
        <v>0</v>
      </c>
      <c r="AH69">
        <f t="shared" si="85"/>
        <v>0</v>
      </c>
    </row>
    <row r="70" spans="1:84" x14ac:dyDescent="0.2">
      <c r="G70" s="28">
        <f t="shared" ref="G70:AH70" si="90">SUM(G64:G69)</f>
        <v>2</v>
      </c>
      <c r="H70" s="28">
        <f t="shared" si="90"/>
        <v>1</v>
      </c>
      <c r="I70" s="28">
        <f t="shared" si="90"/>
        <v>0</v>
      </c>
      <c r="J70" s="28">
        <f t="shared" si="90"/>
        <v>1</v>
      </c>
      <c r="K70" s="28">
        <f t="shared" si="90"/>
        <v>4</v>
      </c>
      <c r="L70" s="28">
        <f t="shared" si="90"/>
        <v>4</v>
      </c>
      <c r="M70">
        <f t="shared" si="90"/>
        <v>2</v>
      </c>
      <c r="N70">
        <f t="shared" si="90"/>
        <v>0</v>
      </c>
      <c r="O70">
        <f t="shared" si="90"/>
        <v>0</v>
      </c>
      <c r="P70">
        <f t="shared" si="90"/>
        <v>0</v>
      </c>
      <c r="Q70">
        <f t="shared" si="90"/>
        <v>0</v>
      </c>
      <c r="R70">
        <f t="shared" si="90"/>
        <v>0</v>
      </c>
      <c r="S70">
        <f t="shared" si="90"/>
        <v>0</v>
      </c>
      <c r="T70">
        <f t="shared" si="90"/>
        <v>0</v>
      </c>
      <c r="U70">
        <f t="shared" si="90"/>
        <v>2</v>
      </c>
      <c r="V70">
        <f t="shared" si="90"/>
        <v>0</v>
      </c>
      <c r="W70">
        <f t="shared" si="90"/>
        <v>0</v>
      </c>
      <c r="X70">
        <f t="shared" si="90"/>
        <v>2</v>
      </c>
      <c r="Y70">
        <f t="shared" si="90"/>
        <v>1</v>
      </c>
      <c r="Z70">
        <f t="shared" si="90"/>
        <v>6</v>
      </c>
      <c r="AA70">
        <f t="shared" si="90"/>
        <v>0</v>
      </c>
      <c r="AB70">
        <f t="shared" si="90"/>
        <v>2</v>
      </c>
      <c r="AC70">
        <f t="shared" si="90"/>
        <v>2</v>
      </c>
      <c r="AD70">
        <f t="shared" si="90"/>
        <v>0</v>
      </c>
      <c r="AE70">
        <f t="shared" si="90"/>
        <v>0</v>
      </c>
      <c r="AF70">
        <f t="shared" si="90"/>
        <v>6</v>
      </c>
      <c r="AG70">
        <f t="shared" si="90"/>
        <v>1</v>
      </c>
      <c r="AH70">
        <f t="shared" si="90"/>
        <v>4</v>
      </c>
    </row>
    <row r="72" spans="1:84" x14ac:dyDescent="0.2">
      <c r="A72" s="463" t="str">
        <f>'1-zapasy'!A57</f>
        <v>skupina A8</v>
      </c>
      <c r="B72" s="464"/>
      <c r="C72" s="464"/>
      <c r="D72" s="464"/>
      <c r="E72" s="464"/>
      <c r="F72" s="28" t="s">
        <v>67</v>
      </c>
      <c r="G72" s="465" t="str">
        <f>A74</f>
        <v>DOFEK David (KST Vyškov)</v>
      </c>
      <c r="H72" s="465"/>
      <c r="I72" s="465"/>
      <c r="J72" s="465"/>
      <c r="K72" s="465"/>
      <c r="L72" s="465"/>
      <c r="M72" s="465"/>
      <c r="N72" s="465" t="str">
        <f>E74</f>
        <v>ŠIMEČEK Robin (TTC MS Brno)</v>
      </c>
      <c r="O72" s="465"/>
      <c r="P72" s="465"/>
      <c r="Q72" s="465"/>
      <c r="R72" s="465"/>
      <c r="S72" s="465"/>
      <c r="T72" s="465"/>
      <c r="U72" s="465" t="str">
        <f>A75</f>
        <v>PILITOWSKÁ Lea (KST Blansko)</v>
      </c>
      <c r="V72" s="465"/>
      <c r="W72" s="465"/>
      <c r="X72" s="465"/>
      <c r="Y72" s="465"/>
      <c r="Z72" s="465"/>
      <c r="AA72" s="465"/>
      <c r="AB72" s="465" t="str">
        <f>E75</f>
        <v>PAŘÍZEK Richard (SKST Hodonín)</v>
      </c>
      <c r="AC72" s="465"/>
      <c r="AD72" s="465"/>
      <c r="AE72" s="465"/>
      <c r="AF72" s="465"/>
      <c r="AG72" s="465"/>
      <c r="AH72" s="465"/>
      <c r="AJ72" s="465" t="s">
        <v>68</v>
      </c>
      <c r="AK72" s="465"/>
      <c r="AL72" s="465"/>
      <c r="AM72" s="465"/>
      <c r="AN72" s="465"/>
      <c r="AO72" s="465"/>
      <c r="AP72" s="465"/>
      <c r="AQ72" s="465"/>
      <c r="BX72" s="28" t="s">
        <v>69</v>
      </c>
    </row>
    <row r="73" spans="1:84" x14ac:dyDescent="0.2">
      <c r="A73" s="464"/>
      <c r="B73" s="464"/>
      <c r="C73" s="464"/>
      <c r="D73" s="464"/>
      <c r="E73" s="464"/>
      <c r="F73" s="28" t="s">
        <v>70</v>
      </c>
      <c r="G73" s="28" t="s">
        <v>71</v>
      </c>
      <c r="H73" s="28" t="s">
        <v>72</v>
      </c>
      <c r="I73" s="28" t="s">
        <v>73</v>
      </c>
      <c r="J73" s="28" t="s">
        <v>74</v>
      </c>
      <c r="K73" s="28" t="s">
        <v>75</v>
      </c>
      <c r="L73" s="28" t="s">
        <v>76</v>
      </c>
      <c r="M73" s="28" t="s">
        <v>77</v>
      </c>
      <c r="N73" s="28" t="s">
        <v>71</v>
      </c>
      <c r="O73" s="28" t="s">
        <v>72</v>
      </c>
      <c r="P73" s="28" t="s">
        <v>73</v>
      </c>
      <c r="Q73" s="28" t="s">
        <v>74</v>
      </c>
      <c r="R73" s="28" t="s">
        <v>75</v>
      </c>
      <c r="S73" s="28" t="s">
        <v>76</v>
      </c>
      <c r="T73" s="28" t="s">
        <v>77</v>
      </c>
      <c r="U73" s="28" t="s">
        <v>71</v>
      </c>
      <c r="V73" s="28" t="s">
        <v>72</v>
      </c>
      <c r="W73" s="28" t="s">
        <v>73</v>
      </c>
      <c r="X73" s="28" t="s">
        <v>74</v>
      </c>
      <c r="Y73" s="28" t="s">
        <v>75</v>
      </c>
      <c r="Z73" s="28" t="s">
        <v>76</v>
      </c>
      <c r="AA73" s="28" t="s">
        <v>77</v>
      </c>
      <c r="AB73" s="28" t="s">
        <v>71</v>
      </c>
      <c r="AC73" s="28" t="s">
        <v>72</v>
      </c>
      <c r="AD73" s="28" t="s">
        <v>73</v>
      </c>
      <c r="AE73" s="28" t="s">
        <v>74</v>
      </c>
      <c r="AF73" s="28" t="s">
        <v>75</v>
      </c>
      <c r="AG73" s="28" t="s">
        <v>76</v>
      </c>
      <c r="AH73" s="28" t="s">
        <v>77</v>
      </c>
      <c r="AK73" s="28" t="s">
        <v>71</v>
      </c>
      <c r="AL73" s="28" t="s">
        <v>72</v>
      </c>
      <c r="AM73" s="28" t="s">
        <v>73</v>
      </c>
      <c r="AN73" s="28" t="s">
        <v>74</v>
      </c>
      <c r="AO73" s="28" t="s">
        <v>75</v>
      </c>
      <c r="AP73" s="28" t="s">
        <v>76</v>
      </c>
      <c r="AQ73" s="28" t="s">
        <v>77</v>
      </c>
      <c r="AS73" s="28" t="s">
        <v>78</v>
      </c>
      <c r="AU73" s="28" t="s">
        <v>79</v>
      </c>
      <c r="AW73" s="28" t="s">
        <v>80</v>
      </c>
      <c r="AY73" s="28" t="s">
        <v>81</v>
      </c>
      <c r="BB73" s="28" t="s">
        <v>82</v>
      </c>
      <c r="BE73" s="28" t="s">
        <v>83</v>
      </c>
      <c r="BH73" s="28" t="s">
        <v>84</v>
      </c>
      <c r="BK73" s="28" t="s">
        <v>85</v>
      </c>
      <c r="BL73" s="28" t="s">
        <v>86</v>
      </c>
      <c r="BP73" s="28" t="s">
        <v>87</v>
      </c>
      <c r="BT73" s="28" t="s">
        <v>88</v>
      </c>
      <c r="BY73" s="28" t="s">
        <v>65</v>
      </c>
      <c r="BZ73" s="28" t="s">
        <v>89</v>
      </c>
      <c r="CA73" s="28" t="s">
        <v>58</v>
      </c>
      <c r="CB73" s="28" t="s">
        <v>90</v>
      </c>
      <c r="CC73" s="28" t="s">
        <v>51</v>
      </c>
      <c r="CD73" s="28" t="s">
        <v>53</v>
      </c>
      <c r="CE73" s="28" t="s">
        <v>91</v>
      </c>
    </row>
    <row r="74" spans="1:84" x14ac:dyDescent="0.2">
      <c r="A74" s="27" t="str">
        <f>'1-zapasy'!B59</f>
        <v>DOFEK David (KST Vyškov)</v>
      </c>
      <c r="B74" s="220">
        <f>'1-zapasy'!I59</f>
        <v>3</v>
      </c>
      <c r="C74" s="220" t="e">
        <f>'3-zapasy'!#REF!</f>
        <v>#REF!</v>
      </c>
      <c r="D74" s="220">
        <f>'1-zapasy'!J59</f>
        <v>0</v>
      </c>
      <c r="E74" s="27" t="str">
        <f>'1-zapasy'!C59</f>
        <v>ŠIMEČEK Robin (TTC MS Brno)</v>
      </c>
      <c r="F74" s="28">
        <f>COUNTBLANK('1-zapasy'!I59:'1-zapasy'!J59)</f>
        <v>0</v>
      </c>
      <c r="G74" s="28">
        <f>IF(AND(F74=0,OR($A74=$G72,$E74=$G72)),1,0)</f>
        <v>1</v>
      </c>
      <c r="H74" s="28">
        <f>IF(AND(F74=0,OR(AND($A74=$G72,$B74&gt;$D74),AND($E74=$G72,$D74&gt;$B74))),1,0)</f>
        <v>1</v>
      </c>
      <c r="I74" s="28">
        <f t="shared" ref="I74:I79" si="91">IF(AND(F74=0,G74=1,$B74=$D74),1,0)</f>
        <v>0</v>
      </c>
      <c r="J74" s="28">
        <f>IF(AND(F74=0,OR(AND($A74=$G72,$B74&lt;$D74),AND($E74=$G72,$D74&lt;$B74))),1,0)</f>
        <v>0</v>
      </c>
      <c r="K74" s="28">
        <f>IF(F74&gt;0,0,IF($A74=$G72,$B74,IF($E74=$G72,$D74,0)))</f>
        <v>3</v>
      </c>
      <c r="L74" s="28">
        <f>IF(F74&gt;0,0,IF($A74=$G72,$D74,IF($E74=$G72,$B74,0)))</f>
        <v>0</v>
      </c>
      <c r="M74">
        <f t="shared" ref="M74:M79" si="92">(($H74*$B$10)+$I74)</f>
        <v>2</v>
      </c>
      <c r="N74">
        <f>IF(AND(F74=0,OR($A74=$N72,$E74=$N72)),1,0)</f>
        <v>1</v>
      </c>
      <c r="O74">
        <f>IF(AND(F74=0,OR(AND($A74=$N72,$B74&gt;$D74),AND($E74=$N72,$D74&gt;$B74))),1,0)</f>
        <v>0</v>
      </c>
      <c r="P74">
        <f t="shared" ref="P74:P79" si="93">IF(AND(F74=0,N74=1,$B74=$D74),1,0)</f>
        <v>0</v>
      </c>
      <c r="Q74">
        <f>IF(AND(F74=0,OR(AND($A74=$N72,$B74&lt;$D74),AND($E74=$N72,$D74&lt;$B74))),1,0)</f>
        <v>1</v>
      </c>
      <c r="R74">
        <f>IF(F74&gt;0,0,IF($A74=$N72,$B74,IF($E74=$N72,$D74,0)))</f>
        <v>0</v>
      </c>
      <c r="S74">
        <f>IF(F74&gt;0,0,IF($A74=$N72,$D74,IF($E74=$N72,$B74,0)))</f>
        <v>3</v>
      </c>
      <c r="T74">
        <f t="shared" ref="T74:T79" si="94">(($O74*$B$10)+$P74)</f>
        <v>0</v>
      </c>
      <c r="U74">
        <f>IF(AND(F74=0,OR($A74=$U72,$E74=$U72)),1,0)</f>
        <v>0</v>
      </c>
      <c r="V74">
        <f>IF(AND(F74=0,OR(AND($A74=$U72,$B74&gt;$D74),AND($E74=$U72,$D74&gt;$B74))),1,0)</f>
        <v>0</v>
      </c>
      <c r="W74">
        <f t="shared" ref="W74:W79" si="95">IF(AND(F74=0,U74=1,$B74=$D74),1,0)</f>
        <v>0</v>
      </c>
      <c r="X74">
        <f>IF(AND(F74=0,OR(AND($A74=$U72,$B74&lt;$D74),AND($E74=$U72,$D74&lt;$B74))),1,0)</f>
        <v>0</v>
      </c>
      <c r="Y74">
        <f>IF(F74&gt;0,0,IF($A74=$U72,$B74,IF($E74=$U72,$D74,0)))</f>
        <v>0</v>
      </c>
      <c r="Z74">
        <f>IF(F74&gt;0,0,IF($A74=$U72,$D74,IF($E74=$U72,$B74,0)))</f>
        <v>0</v>
      </c>
      <c r="AA74">
        <f t="shared" ref="AA74:AA79" si="96">(($V74*$B$10)+$W74)</f>
        <v>0</v>
      </c>
      <c r="AB74">
        <f>IF(AND(F74=0,OR($A74=$AB72,$E74=$AB72)),1,0)</f>
        <v>0</v>
      </c>
      <c r="AC74">
        <f>IF(AND(F74=0,OR(AND($A74=$AB72,$B74&gt;$D74),AND($E74=$AB72,$D74&gt;$B74))),1,0)</f>
        <v>0</v>
      </c>
      <c r="AD74">
        <f t="shared" ref="AD74:AD79" si="97">IF(AND(F74=0,AB74=1,$B74=$D74),1,0)</f>
        <v>0</v>
      </c>
      <c r="AE74">
        <f>IF(AND(F74=0,OR(AND($A74=$AB72,$B74&lt;$D74),AND($E74=$AB72,$D74&lt;$B74))),1,0)</f>
        <v>0</v>
      </c>
      <c r="AF74">
        <f>IF(F74&gt;0,0,IF($A74=$AB72,$B74,IF($E74=$AB72,$D74,0)))</f>
        <v>0</v>
      </c>
      <c r="AG74">
        <f>IF(F74&gt;0,0,IF($A74=$AB72,$D74,IF($E74=$AB72,$B74,0)))</f>
        <v>0</v>
      </c>
      <c r="AH74">
        <f t="shared" ref="AH74:AH79" si="98">(($AC74*$B$10)+$AD74)</f>
        <v>0</v>
      </c>
      <c r="AJ74" s="28" t="str">
        <f>G72</f>
        <v>DOFEK David (KST Vyškov)</v>
      </c>
      <c r="AK74" s="28">
        <f t="shared" ref="AK74:AQ74" si="99">G80</f>
        <v>3</v>
      </c>
      <c r="AL74" s="28">
        <f t="shared" si="99"/>
        <v>3</v>
      </c>
      <c r="AM74" s="28">
        <f t="shared" si="99"/>
        <v>0</v>
      </c>
      <c r="AN74" s="28">
        <f t="shared" si="99"/>
        <v>0</v>
      </c>
      <c r="AO74" s="28">
        <f t="shared" si="99"/>
        <v>9</v>
      </c>
      <c r="AP74" s="28">
        <f t="shared" si="99"/>
        <v>0</v>
      </c>
      <c r="AQ74" s="28">
        <f t="shared" si="99"/>
        <v>6</v>
      </c>
      <c r="AS74" s="28" t="str">
        <f>IF($AQ74&gt;=$AQ75,$AJ74,$AJ75)</f>
        <v>DOFEK David (KST Vyškov)</v>
      </c>
      <c r="AT74" s="28">
        <f>VLOOKUP(AS74,$AJ74:$AQ77,8,FALSE)</f>
        <v>6</v>
      </c>
      <c r="AU74" s="28" t="str">
        <f>IF($AT74&gt;=$AT76,$AS74,$AS76)</f>
        <v>DOFEK David (KST Vyškov)</v>
      </c>
      <c r="AV74" s="28">
        <f>VLOOKUP(AU74,$AS74:$AT77,2,FALSE)</f>
        <v>6</v>
      </c>
      <c r="AW74" s="28" t="str">
        <f>IF($AV74&gt;=$AV77,$AU74,$AU77)</f>
        <v>DOFEK David (KST Vyškov)</v>
      </c>
      <c r="AX74" s="28">
        <f>VLOOKUP(AW74,$AU74:$AV77,2,FALSE)</f>
        <v>6</v>
      </c>
      <c r="AY74" s="28">
        <f>VLOOKUP(AW74,$AJ74:$AQ77,6,FALSE)</f>
        <v>9</v>
      </c>
      <c r="AZ74" s="28">
        <f>VLOOKUP(AW74,$AJ74:$AQ77,7,FALSE)</f>
        <v>0</v>
      </c>
      <c r="BA74" s="28">
        <f>AY74-AZ74</f>
        <v>9</v>
      </c>
      <c r="BB74" s="28" t="str">
        <f>IF(AND($AX74=$AX75,$BA75&gt;$BA74),$AW75,$AW74)</f>
        <v>DOFEK David (KST Vyškov)</v>
      </c>
      <c r="BC74" s="28">
        <f>VLOOKUP(BB74,$AW74:$BA77,2,FALSE)</f>
        <v>6</v>
      </c>
      <c r="BD74" s="28">
        <f>VLOOKUP(BB74,$AW74:$BA77,5,FALSE)</f>
        <v>9</v>
      </c>
      <c r="BE74" s="28" t="str">
        <f>IF(AND($BC74=$BC76,$BD76&gt;$BD74),$BB76,$BB74)</f>
        <v>DOFEK David (KST Vyškov)</v>
      </c>
      <c r="BF74" s="28">
        <f>VLOOKUP(BE74,$BB74:$BD77,2,FALSE)</f>
        <v>6</v>
      </c>
      <c r="BG74" s="28">
        <f>VLOOKUP(BE74,$BB74:$BD77,3,FALSE)</f>
        <v>9</v>
      </c>
      <c r="BH74" s="28" t="str">
        <f>IF(AND($BF74=$BF77,$BG77&gt;$BG74),$BE77,$BE74)</f>
        <v>DOFEK David (KST Vyškov)</v>
      </c>
      <c r="BI74" s="28">
        <f>VLOOKUP(BH74,$BE74:$BG77,2,FALSE)</f>
        <v>6</v>
      </c>
      <c r="BJ74" s="28">
        <f>VLOOKUP(BH74,$BE74:$BG77,3,FALSE)</f>
        <v>9</v>
      </c>
      <c r="BK74" s="28">
        <f>VLOOKUP(BH74,$AJ74:$AQ77,6,FALSE)</f>
        <v>9</v>
      </c>
      <c r="BL74" s="28" t="str">
        <f>IF(AND($BI74=$BI75,$BJ74=$BJ75,$BK75&gt;$BK74),$BH75,$BH74)</f>
        <v>DOFEK David (KST Vyškov)</v>
      </c>
      <c r="BM74" s="28">
        <f>VLOOKUP(BL74,$BH74:$BK77,2,FALSE)</f>
        <v>6</v>
      </c>
      <c r="BN74" s="28">
        <f>VLOOKUP(BL74,$BH74:$BK77,3,FALSE)</f>
        <v>9</v>
      </c>
      <c r="BO74" s="28">
        <f>VLOOKUP(BL74,$BH74:$BK77,4,FALSE)</f>
        <v>9</v>
      </c>
      <c r="BP74" s="28" t="str">
        <f>IF(AND($BM74=$BM76,$BN74=$BN76,$BO76&gt;$BO74),$BL76,$BL74)</f>
        <v>DOFEK David (KST Vyškov)</v>
      </c>
      <c r="BQ74" s="28">
        <f>VLOOKUP(BP74,$BL74:$BO77,2,FALSE)</f>
        <v>6</v>
      </c>
      <c r="BR74" s="28">
        <f>VLOOKUP(BP74,$BL74:$BO77,3,FALSE)</f>
        <v>9</v>
      </c>
      <c r="BS74" s="28">
        <f>VLOOKUP(BP74,$BL74:$BO77,4,FALSE)</f>
        <v>9</v>
      </c>
      <c r="BT74" s="28" t="str">
        <f>IF(AND($BQ74=$BQ77,$BR74=$BR77,$BS77&gt;$BS74),$BP77,$BP74)</f>
        <v>DOFEK David (KST Vyškov)</v>
      </c>
      <c r="BU74" s="28">
        <f>VLOOKUP(BT74,$BP74:$BS77,2,FALSE)</f>
        <v>6</v>
      </c>
      <c r="BV74" s="28">
        <f>VLOOKUP(BT74,$BP74:$BS77,3,FALSE)</f>
        <v>9</v>
      </c>
      <c r="BW74" s="28">
        <f>VLOOKUP(BT74,$BP74:$BS77,4,FALSE)</f>
        <v>9</v>
      </c>
      <c r="BX74" s="28" t="str">
        <f>BT74</f>
        <v>DOFEK David (KST Vyškov)</v>
      </c>
      <c r="BY74" s="28">
        <f>VLOOKUP($BX74,$AJ74:$AQ77,2,FALSE)</f>
        <v>3</v>
      </c>
      <c r="BZ74" s="28">
        <f>VLOOKUP($BX74,$AJ74:$AQ77,3,FALSE)</f>
        <v>3</v>
      </c>
      <c r="CA74" s="28">
        <f>VLOOKUP($BX74,$AJ74:$AQ77,4,FALSE)</f>
        <v>0</v>
      </c>
      <c r="CB74" s="28">
        <f>VLOOKUP($BX74,$AJ74:$AQ77,5,FALSE)</f>
        <v>0</v>
      </c>
      <c r="CC74" s="28">
        <f>VLOOKUP($BX74,$AJ74:$AQ77,6,FALSE)</f>
        <v>9</v>
      </c>
      <c r="CD74" s="28">
        <f>VLOOKUP($BX74,$AJ74:$AQ77,7,FALSE)</f>
        <v>0</v>
      </c>
      <c r="CE74" s="28">
        <f>VLOOKUP($BX74,$AJ74:$AQ77,8,FALSE)</f>
        <v>6</v>
      </c>
      <c r="CF74" s="128" t="str">
        <f>CONCATENATE(CC74,":",CD74)</f>
        <v>9:0</v>
      </c>
    </row>
    <row r="75" spans="1:84" x14ac:dyDescent="0.2">
      <c r="A75" s="27" t="str">
        <f>'1-zapasy'!B60</f>
        <v>PILITOWSKÁ Lea (KST Blansko)</v>
      </c>
      <c r="B75" s="220">
        <f>'1-zapasy'!I60</f>
        <v>0</v>
      </c>
      <c r="C75" s="220" t="e">
        <f>'3-zapasy'!#REF!</f>
        <v>#REF!</v>
      </c>
      <c r="D75" s="220">
        <f>'1-zapasy'!J60</f>
        <v>3</v>
      </c>
      <c r="E75" s="27" t="str">
        <f>'1-zapasy'!C60</f>
        <v>PAŘÍZEK Richard (SKST Hodonín)</v>
      </c>
      <c r="F75" s="28">
        <f>COUNTBLANK('1-zapasy'!I60:'1-zapasy'!J60)</f>
        <v>0</v>
      </c>
      <c r="G75" s="28">
        <f>IF(AND(F75=0,OR($A75=$G72,$E75=$G72)),1,0)</f>
        <v>0</v>
      </c>
      <c r="H75" s="28">
        <f>IF(AND(F75=0,OR(AND($A75=$G72,$B75&gt;$D75),AND($E75=$G72,$D75&gt;$B75))),1,0)</f>
        <v>0</v>
      </c>
      <c r="I75" s="28">
        <f t="shared" si="91"/>
        <v>0</v>
      </c>
      <c r="J75" s="28">
        <f>IF(AND(F75=0,OR(AND($A75=$G72,$B75&lt;$D75),AND($E75=$G72,$D75&lt;$B75))),1,0)</f>
        <v>0</v>
      </c>
      <c r="K75" s="28">
        <f>IF(F75&gt;0,0,IF($A75=$G72,$B75,IF($E75=$G72,$D75,0)))</f>
        <v>0</v>
      </c>
      <c r="L75" s="28">
        <f>IF(F75&gt;0,0,IF($A75=$G72,$D75,IF($E75=$G72,$B75,0)))</f>
        <v>0</v>
      </c>
      <c r="M75">
        <f t="shared" si="92"/>
        <v>0</v>
      </c>
      <c r="N75">
        <f>IF(AND(F75=0,OR($A75=$N72,$E75=$N72)),1,0)</f>
        <v>0</v>
      </c>
      <c r="O75">
        <f>IF(AND(F75=0,OR(AND($A75=$N72,$B75&gt;$D75),AND($E75=$N72,$D75&gt;$B75))),1,0)</f>
        <v>0</v>
      </c>
      <c r="P75">
        <f t="shared" si="93"/>
        <v>0</v>
      </c>
      <c r="Q75">
        <f>IF(AND(F75=0,OR(AND($A75=$N72,$B75&lt;$D75),AND($E75=$N72,$D75&lt;$B75))),1,0)</f>
        <v>0</v>
      </c>
      <c r="R75">
        <f>IF(F75&gt;0,0,IF($A75=$N72,$B75,IF($E75=$N72,$D75,0)))</f>
        <v>0</v>
      </c>
      <c r="S75">
        <f>IF(F75&gt;0,0,IF($A75=$N72,$D75,IF($E75=$N72,$B75,0)))</f>
        <v>0</v>
      </c>
      <c r="T75">
        <f t="shared" si="94"/>
        <v>0</v>
      </c>
      <c r="U75">
        <f>IF(AND(F75=0,OR($A75=$U72,$E75=$U72)),1,0)</f>
        <v>1</v>
      </c>
      <c r="V75">
        <f>IF(AND(F75=0,OR(AND($A75=$U72,$B75&gt;$D75),AND($E75=$U72,$D75&gt;$B75))),1,0)</f>
        <v>0</v>
      </c>
      <c r="W75">
        <f t="shared" si="95"/>
        <v>0</v>
      </c>
      <c r="X75">
        <f>IF(AND(F75=0,OR(AND($A75=$U72,$B75&lt;$D75),AND($E75=$U72,$D75&lt;$B75))),1,0)</f>
        <v>1</v>
      </c>
      <c r="Y75">
        <f>IF(F75&gt;0,0,IF($A75=$U72,$B75,IF($E75=$U72,$D75,0)))</f>
        <v>0</v>
      </c>
      <c r="Z75">
        <f>IF(F75&gt;0,0,IF($A75=$U72,$D75,IF($E75=$U72,$B75,0)))</f>
        <v>3</v>
      </c>
      <c r="AA75">
        <f t="shared" si="96"/>
        <v>0</v>
      </c>
      <c r="AB75">
        <f>IF(AND(F75=0,OR($A75=$AB72,$E75=$AB72)),1,0)</f>
        <v>1</v>
      </c>
      <c r="AC75">
        <f>IF(AND(F75=0,OR(AND($A75=$AB72,$B75&gt;$D75),AND($E75=$AB72,$D75&gt;$B75))),1,0)</f>
        <v>1</v>
      </c>
      <c r="AD75">
        <f t="shared" si="97"/>
        <v>0</v>
      </c>
      <c r="AE75">
        <f>IF(AND(F75=0,OR(AND($A75=$AB72,$B75&lt;$D75),AND($E75=$AB72,$D75&lt;$B75))),1,0)</f>
        <v>0</v>
      </c>
      <c r="AF75">
        <f>IF(F75&gt;0,0,IF($A75=$AB72,$B75,IF($E75=$AB72,$D75,0)))</f>
        <v>3</v>
      </c>
      <c r="AG75">
        <f>IF(F75&gt;0,0,IF($A75=$AB72,$D75,IF($E75=$AB72,$B75,0)))</f>
        <v>0</v>
      </c>
      <c r="AH75">
        <f t="shared" si="98"/>
        <v>2</v>
      </c>
      <c r="AJ75" s="28" t="str">
        <f>N72</f>
        <v>ŠIMEČEK Robin (TTC MS Brno)</v>
      </c>
      <c r="AK75" s="28">
        <f t="shared" ref="AK75:AQ75" si="100">N80</f>
        <v>3</v>
      </c>
      <c r="AL75" s="28">
        <f t="shared" si="100"/>
        <v>0</v>
      </c>
      <c r="AM75" s="28">
        <f t="shared" si="100"/>
        <v>0</v>
      </c>
      <c r="AN75" s="28">
        <f t="shared" si="100"/>
        <v>3</v>
      </c>
      <c r="AO75" s="28">
        <f t="shared" si="100"/>
        <v>0</v>
      </c>
      <c r="AP75" s="28">
        <f t="shared" si="100"/>
        <v>9</v>
      </c>
      <c r="AQ75" s="28">
        <f t="shared" si="100"/>
        <v>0</v>
      </c>
      <c r="AS75" s="28" t="str">
        <f>IF($AQ75&lt;=$AQ74,$AJ75,$AJ74)</f>
        <v>ŠIMEČEK Robin (TTC MS Brno)</v>
      </c>
      <c r="AT75" s="28">
        <f>VLOOKUP(AS75,$AJ74:$AQ77,8,FALSE)</f>
        <v>0</v>
      </c>
      <c r="AU75" s="28" t="str">
        <f>IF($AT75&gt;=$AT77,$AS75,$AS77)</f>
        <v>PILITOWSKÁ Lea (KST Blansko)</v>
      </c>
      <c r="AV75" s="28">
        <f>VLOOKUP(AU75,$AS74:$AT77,2,FALSE)</f>
        <v>2</v>
      </c>
      <c r="AW75" s="28" t="str">
        <f>IF($AV75&gt;=$AV76,$AU75,$AU76)</f>
        <v>PAŘÍZEK Richard (SKST Hodonín)</v>
      </c>
      <c r="AX75" s="28">
        <f>VLOOKUP(AW75,$AU74:$AV77,2,FALSE)</f>
        <v>4</v>
      </c>
      <c r="AY75" s="28">
        <f>VLOOKUP(AW75,$AJ74:$AQ77,6,FALSE)</f>
        <v>6</v>
      </c>
      <c r="AZ75" s="28">
        <f>VLOOKUP(AW75,$AJ74:$AQ77,7,FALSE)</f>
        <v>3</v>
      </c>
      <c r="BA75" s="28">
        <f>AY75-AZ75</f>
        <v>3</v>
      </c>
      <c r="BB75" s="28" t="str">
        <f>IF(AND($AX74=$AX75,$BA75&gt;$BA74),$AW74,$AW75)</f>
        <v>PAŘÍZEK Richard (SKST Hodonín)</v>
      </c>
      <c r="BC75" s="28">
        <f>VLOOKUP(BB75,$AW74:$BA77,2,FALSE)</f>
        <v>4</v>
      </c>
      <c r="BD75" s="28">
        <f>VLOOKUP(BB75,$AW74:$BA77,5,FALSE)</f>
        <v>3</v>
      </c>
      <c r="BE75" s="28" t="str">
        <f>IF(AND($BC75=$BC77,$BD77&gt;$BD75),$BB77,$BB75)</f>
        <v>PAŘÍZEK Richard (SKST Hodonín)</v>
      </c>
      <c r="BF75" s="28">
        <f>VLOOKUP(BE75,$BB74:$BD77,2,FALSE)</f>
        <v>4</v>
      </c>
      <c r="BG75" s="28">
        <f>VLOOKUP(BE75,$BB74:$BD77,3,FALSE)</f>
        <v>3</v>
      </c>
      <c r="BH75" s="28" t="str">
        <f>IF(AND($BF75=$BF76,$BG76&gt;$BG75),$BE76,$BE75)</f>
        <v>PAŘÍZEK Richard (SKST Hodonín)</v>
      </c>
      <c r="BI75" s="28">
        <f>VLOOKUP(BH75,$BE74:$BG77,2,FALSE)</f>
        <v>4</v>
      </c>
      <c r="BJ75" s="28">
        <f>VLOOKUP(BH75,$BE74:$BG77,3,FALSE)</f>
        <v>3</v>
      </c>
      <c r="BK75" s="28">
        <f>VLOOKUP(BH75,$AJ74:$AQ77,6,FALSE)</f>
        <v>6</v>
      </c>
      <c r="BL75" s="28" t="str">
        <f>IF(AND($BI74=$BI75,$BJ74=$BJ75,$BK75&gt;$BK74),$BH74,$BH75)</f>
        <v>PAŘÍZEK Richard (SKST Hodonín)</v>
      </c>
      <c r="BM75" s="28">
        <f>VLOOKUP(BL75,$BH74:$BK77,2,FALSE)</f>
        <v>4</v>
      </c>
      <c r="BN75" s="28">
        <f>VLOOKUP(BL75,$BH74:$BK77,3,FALSE)</f>
        <v>3</v>
      </c>
      <c r="BO75" s="28">
        <f>VLOOKUP(BL75,$BH74:$BK77,4,FALSE)</f>
        <v>6</v>
      </c>
      <c r="BP75" s="28" t="str">
        <f>IF(AND($BM75=$BM77,$BN75=$BN77,$BO77&gt;$BO75),$BL77,$BL75)</f>
        <v>PAŘÍZEK Richard (SKST Hodonín)</v>
      </c>
      <c r="BQ75" s="28">
        <f>VLOOKUP(BP75,$BL74:$BO77,2,FALSE)</f>
        <v>4</v>
      </c>
      <c r="BR75" s="28">
        <f>VLOOKUP(BP75,$BL74:$BO77,3,FALSE)</f>
        <v>3</v>
      </c>
      <c r="BS75" s="28">
        <f>VLOOKUP(BP75,$BL74:$BO77,4,FALSE)</f>
        <v>6</v>
      </c>
      <c r="BT75" s="28" t="str">
        <f>IF(AND($BQ75=$BQ76,$BR75=$BR76,$BS76&gt;$BS75),$BP76,$BP75)</f>
        <v>PAŘÍZEK Richard (SKST Hodonín)</v>
      </c>
      <c r="BU75" s="28">
        <f>VLOOKUP(BT75,$BP74:$BS77,2,FALSE)</f>
        <v>4</v>
      </c>
      <c r="BV75" s="28">
        <f>VLOOKUP(BT75,$BP74:$BS77,3,FALSE)</f>
        <v>3</v>
      </c>
      <c r="BW75" s="28">
        <f>VLOOKUP(BT75,$BP74:$BS77,4,FALSE)</f>
        <v>6</v>
      </c>
      <c r="BX75" s="28" t="str">
        <f>BT75</f>
        <v>PAŘÍZEK Richard (SKST Hodonín)</v>
      </c>
      <c r="BY75" s="28">
        <f>VLOOKUP($BX75,$AJ74:$AQ77,2,FALSE)</f>
        <v>3</v>
      </c>
      <c r="BZ75" s="28">
        <f>VLOOKUP($BX75,$AJ74:$AQ77,3,FALSE)</f>
        <v>2</v>
      </c>
      <c r="CA75" s="28">
        <f>VLOOKUP($BX75,$AJ74:$AQ77,4,FALSE)</f>
        <v>0</v>
      </c>
      <c r="CB75" s="28">
        <f>VLOOKUP($BX75,$AJ74:$AQ77,5,FALSE)</f>
        <v>1</v>
      </c>
      <c r="CC75" s="28">
        <f>VLOOKUP($BX75,$AJ74:$AQ77,6,FALSE)</f>
        <v>6</v>
      </c>
      <c r="CD75" s="28">
        <f>VLOOKUP($BX75,$AJ74:$AQ77,7,FALSE)</f>
        <v>3</v>
      </c>
      <c r="CE75" s="28">
        <f>VLOOKUP($BX75,$AJ74:$AQ77,8,FALSE)</f>
        <v>4</v>
      </c>
      <c r="CF75" s="128" t="str">
        <f>CONCATENATE(CC75,":",CD75)</f>
        <v>6:3</v>
      </c>
    </row>
    <row r="76" spans="1:84" x14ac:dyDescent="0.2">
      <c r="A76" s="27" t="str">
        <f>'1-zapasy'!B61</f>
        <v>ŠIMEČEK Robin (TTC MS Brno)</v>
      </c>
      <c r="B76" s="220">
        <f>'1-zapasy'!I61</f>
        <v>0</v>
      </c>
      <c r="C76" s="220" t="e">
        <f>'3-zapasy'!#REF!</f>
        <v>#REF!</v>
      </c>
      <c r="D76" s="220">
        <f>'1-zapasy'!J61</f>
        <v>3</v>
      </c>
      <c r="E76" s="27" t="str">
        <f>'1-zapasy'!C61</f>
        <v>PILITOWSKÁ Lea (KST Blansko)</v>
      </c>
      <c r="F76" s="28">
        <f>COUNTBLANK('1-zapasy'!I61:'1-zapasy'!J61)</f>
        <v>0</v>
      </c>
      <c r="G76" s="28">
        <f>IF(AND(F76=0,OR($A76=$G72,$E76=$G72)),1,0)</f>
        <v>0</v>
      </c>
      <c r="H76" s="28">
        <f>IF(AND(F76=0,OR(AND($A76=$G72,$B76&gt;$D76),AND($E76=$G72,$D76&gt;$B76))),1,0)</f>
        <v>0</v>
      </c>
      <c r="I76" s="28">
        <f t="shared" si="91"/>
        <v>0</v>
      </c>
      <c r="J76" s="28">
        <f>IF(AND(F76=0,OR(AND($A76=$G72,$B76&lt;$D76),AND($E76=$G72,$D76&lt;$B76))),1,0)</f>
        <v>0</v>
      </c>
      <c r="K76" s="28">
        <f>IF(F76&gt;0,0,IF($A76=$G72,$B76,IF($E76=$G72,$D76,0)))</f>
        <v>0</v>
      </c>
      <c r="L76" s="28">
        <f>IF(F76&gt;0,0,IF($A76=$G72,$D76,IF($E76=$G72,$B76,0)))</f>
        <v>0</v>
      </c>
      <c r="M76">
        <f t="shared" si="92"/>
        <v>0</v>
      </c>
      <c r="N76">
        <f>IF(AND(F76=0,OR($A76=$N72,$E76=$N72)),1,0)</f>
        <v>1</v>
      </c>
      <c r="O76">
        <f>IF(AND(F76=0,OR(AND($A76=$N72,$B76&gt;$D76),AND($E76=$N72,$D76&gt;$B76))),1,0)</f>
        <v>0</v>
      </c>
      <c r="P76">
        <f t="shared" si="93"/>
        <v>0</v>
      </c>
      <c r="Q76">
        <f>IF(AND(F76=0,OR(AND($A76=$N72,$B76&lt;$D76),AND($E76=$N72,$D76&lt;$B76))),1,0)</f>
        <v>1</v>
      </c>
      <c r="R76">
        <f>IF(F76&gt;0,0,IF($A76=$N72,$B76,IF($E76=$N72,$D76,0)))</f>
        <v>0</v>
      </c>
      <c r="S76">
        <f>IF(F76&gt;0,0,IF($A76=$N72,$D76,IF($E76=$N72,$B76,0)))</f>
        <v>3</v>
      </c>
      <c r="T76">
        <f t="shared" si="94"/>
        <v>0</v>
      </c>
      <c r="U76">
        <f>IF(AND(F76=0,OR($A76=$U72,$E76=$U72)),1,0)</f>
        <v>1</v>
      </c>
      <c r="V76">
        <f>IF(AND(F76=0,OR(AND($A76=$U72,$B76&gt;$D76),AND($E76=$U72,$D76&gt;$B76))),1,0)</f>
        <v>1</v>
      </c>
      <c r="W76">
        <f t="shared" si="95"/>
        <v>0</v>
      </c>
      <c r="X76">
        <f>IF(AND(F76=0,OR(AND($A76=$U72,$B76&lt;$D76),AND($E76=$U72,$D76&lt;$B76))),1,0)</f>
        <v>0</v>
      </c>
      <c r="Y76">
        <f>IF(F76&gt;0,0,IF($A76=$U72,$B76,IF($E76=$U72,$D76,0)))</f>
        <v>3</v>
      </c>
      <c r="Z76">
        <f>IF(F76&gt;0,0,IF($A76=$U72,$D76,IF($E76=$U72,$B76,0)))</f>
        <v>0</v>
      </c>
      <c r="AA76">
        <f t="shared" si="96"/>
        <v>2</v>
      </c>
      <c r="AB76">
        <f>IF(AND(F76=0,OR($A76=$AB72,$E76=$AB72)),1,0)</f>
        <v>0</v>
      </c>
      <c r="AC76">
        <f>IF(AND(F76=0,OR(AND($A76=$AB72,$B76&gt;$D76),AND($E76=$AB72,$D76&gt;$B76))),1,0)</f>
        <v>0</v>
      </c>
      <c r="AD76">
        <f t="shared" si="97"/>
        <v>0</v>
      </c>
      <c r="AE76">
        <f>IF(AND(F76=0,OR(AND($A76=$AB72,$B76&lt;$D76),AND($E76=$AB72,$D76&lt;$B76))),1,0)</f>
        <v>0</v>
      </c>
      <c r="AF76">
        <f>IF(F76&gt;0,0,IF($A76=$AB72,$B76,IF($E76=$AB72,$D76,0)))</f>
        <v>0</v>
      </c>
      <c r="AG76">
        <f>IF(F76&gt;0,0,IF($A76=$AB72,$D76,IF($E76=$AB72,$B76,0)))</f>
        <v>0</v>
      </c>
      <c r="AH76">
        <f t="shared" si="98"/>
        <v>0</v>
      </c>
      <c r="AJ76" s="28" t="str">
        <f>U72</f>
        <v>PILITOWSKÁ Lea (KST Blansko)</v>
      </c>
      <c r="AK76" s="28">
        <f t="shared" ref="AK76:AQ76" si="101">U80</f>
        <v>3</v>
      </c>
      <c r="AL76" s="28">
        <f t="shared" si="101"/>
        <v>1</v>
      </c>
      <c r="AM76" s="28">
        <f t="shared" si="101"/>
        <v>0</v>
      </c>
      <c r="AN76" s="28">
        <f t="shared" si="101"/>
        <v>2</v>
      </c>
      <c r="AO76" s="28">
        <f t="shared" si="101"/>
        <v>3</v>
      </c>
      <c r="AP76" s="28">
        <f t="shared" si="101"/>
        <v>6</v>
      </c>
      <c r="AQ76" s="28">
        <f t="shared" si="101"/>
        <v>2</v>
      </c>
      <c r="AS76" s="28" t="str">
        <f>IF($AQ76&gt;=$AQ77,$AJ76,$AJ77)</f>
        <v>PAŘÍZEK Richard (SKST Hodonín)</v>
      </c>
      <c r="AT76" s="28">
        <f>VLOOKUP(AS76,$AJ74:$AQ77,8,FALSE)</f>
        <v>4</v>
      </c>
      <c r="AU76" s="28" t="str">
        <f>IF($AT76&lt;=$AT74,$AS76,$AS74)</f>
        <v>PAŘÍZEK Richard (SKST Hodonín)</v>
      </c>
      <c r="AV76" s="28">
        <f>VLOOKUP(AU76,$AS74:$AT77,2,FALSE)</f>
        <v>4</v>
      </c>
      <c r="AW76" s="28" t="str">
        <f>IF($AV76&lt;=$AV75,$AU76,$AU75)</f>
        <v>PILITOWSKÁ Lea (KST Blansko)</v>
      </c>
      <c r="AX76" s="28">
        <f>VLOOKUP(AW76,$AU74:$AV77,2,FALSE)</f>
        <v>2</v>
      </c>
      <c r="AY76" s="28">
        <f>VLOOKUP(AW76,$AJ74:$AQ77,6,FALSE)</f>
        <v>3</v>
      </c>
      <c r="AZ76" s="28">
        <f>VLOOKUP(AW76,$AJ74:$AQ77,7,FALSE)</f>
        <v>6</v>
      </c>
      <c r="BA76" s="28">
        <f>AY76-AZ76</f>
        <v>-3</v>
      </c>
      <c r="BB76" s="28" t="str">
        <f>IF(AND($AX76=$AX77,$BA77&gt;$BA76),$AW77,$AW76)</f>
        <v>PILITOWSKÁ Lea (KST Blansko)</v>
      </c>
      <c r="BC76" s="28">
        <f>VLOOKUP(BB76,$AW74:$BA77,2,FALSE)</f>
        <v>2</v>
      </c>
      <c r="BD76" s="28">
        <f>VLOOKUP(BB76,$AW74:$BA77,5,FALSE)</f>
        <v>-3</v>
      </c>
      <c r="BE76" s="28" t="str">
        <f>IF(AND($BC74=$BC76,$BD76&gt;$BD74),$BB74,$BB76)</f>
        <v>PILITOWSKÁ Lea (KST Blansko)</v>
      </c>
      <c r="BF76" s="28">
        <f>VLOOKUP(BE76,$BB74:$BD77,2,FALSE)</f>
        <v>2</v>
      </c>
      <c r="BG76" s="28">
        <f>VLOOKUP(BE76,$BB74:$BD77,3,FALSE)</f>
        <v>-3</v>
      </c>
      <c r="BH76" s="28" t="str">
        <f>IF(AND($BF75=$BF76,$BG76&gt;$BG75),$BE75,$BE76)</f>
        <v>PILITOWSKÁ Lea (KST Blansko)</v>
      </c>
      <c r="BI76" s="28">
        <f>VLOOKUP(BH76,$BE74:$BG77,2,FALSE)</f>
        <v>2</v>
      </c>
      <c r="BJ76" s="28">
        <f>VLOOKUP(BH76,$BE74:$BG77,3,FALSE)</f>
        <v>-3</v>
      </c>
      <c r="BK76" s="28">
        <f>VLOOKUP(BH76,$AJ74:$AQ77,6,FALSE)</f>
        <v>3</v>
      </c>
      <c r="BL76" s="28" t="str">
        <f>IF(AND($BI76=$BI77,$BJ76=$BJ77,$BK77&gt;$BK76),$BH77,$BH76)</f>
        <v>PILITOWSKÁ Lea (KST Blansko)</v>
      </c>
      <c r="BM76" s="28">
        <f>VLOOKUP(BL76,$BH74:$BK77,2,FALSE)</f>
        <v>2</v>
      </c>
      <c r="BN76" s="28">
        <f>VLOOKUP(BL76,$BH74:$BK77,3,FALSE)</f>
        <v>-3</v>
      </c>
      <c r="BO76" s="28">
        <f>VLOOKUP(BL76,$BH74:$BK77,4,FALSE)</f>
        <v>3</v>
      </c>
      <c r="BP76" s="28" t="str">
        <f>IF(AND($BM74=$BM76,$BN74=$BN76,$BO76&gt;$BO74),$BL74,$BL76)</f>
        <v>PILITOWSKÁ Lea (KST Blansko)</v>
      </c>
      <c r="BQ76" s="28">
        <f>VLOOKUP(BP76,$BL74:$BO77,2,FALSE)</f>
        <v>2</v>
      </c>
      <c r="BR76" s="28">
        <f>VLOOKUP(BP76,$BL74:$BO77,3,FALSE)</f>
        <v>-3</v>
      </c>
      <c r="BS76" s="28">
        <f>VLOOKUP(BP76,$BL74:$BO77,4,FALSE)</f>
        <v>3</v>
      </c>
      <c r="BT76" s="28" t="str">
        <f>IF(AND($BQ75=$BQ76,$BR75=$BR76,$BS76&gt;$BS75),$BP75,$BP76)</f>
        <v>PILITOWSKÁ Lea (KST Blansko)</v>
      </c>
      <c r="BU76" s="28">
        <f>VLOOKUP(BT76,$BP74:$BS77,2,FALSE)</f>
        <v>2</v>
      </c>
      <c r="BV76" s="28">
        <f>VLOOKUP(BT76,$BP74:$BS77,3,FALSE)</f>
        <v>-3</v>
      </c>
      <c r="BW76" s="28">
        <f>VLOOKUP(BT76,$BP74:$BS77,4,FALSE)</f>
        <v>3</v>
      </c>
      <c r="BX76" s="28" t="str">
        <f>BT76</f>
        <v>PILITOWSKÁ Lea (KST Blansko)</v>
      </c>
      <c r="BY76" s="28">
        <f>VLOOKUP($BX76,$AJ74:$AQ77,2,FALSE)</f>
        <v>3</v>
      </c>
      <c r="BZ76" s="28">
        <f>VLOOKUP($BX76,$AJ74:$AQ77,3,FALSE)</f>
        <v>1</v>
      </c>
      <c r="CA76" s="28">
        <f>VLOOKUP($BX76,$AJ74:$AQ77,4,FALSE)</f>
        <v>0</v>
      </c>
      <c r="CB76" s="28">
        <f>VLOOKUP($BX76,$AJ74:$AQ77,5,FALSE)</f>
        <v>2</v>
      </c>
      <c r="CC76" s="28">
        <f>VLOOKUP($BX76,$AJ74:$AQ77,6,FALSE)</f>
        <v>3</v>
      </c>
      <c r="CD76" s="28">
        <f>VLOOKUP($BX76,$AJ74:$AQ77,7,FALSE)</f>
        <v>6</v>
      </c>
      <c r="CE76" s="28">
        <f>VLOOKUP($BX76,$AJ74:$AQ77,8,FALSE)</f>
        <v>2</v>
      </c>
      <c r="CF76" s="128" t="str">
        <f>CONCATENATE(CC76,":",CD76)</f>
        <v>3:6</v>
      </c>
    </row>
    <row r="77" spans="1:84" x14ac:dyDescent="0.2">
      <c r="A77" s="27" t="str">
        <f>'1-zapasy'!B62</f>
        <v>PAŘÍZEK Richard (SKST Hodonín)</v>
      </c>
      <c r="B77" s="220">
        <f>'1-zapasy'!I62</f>
        <v>0</v>
      </c>
      <c r="C77" s="220" t="e">
        <f>'3-zapasy'!#REF!</f>
        <v>#REF!</v>
      </c>
      <c r="D77" s="220">
        <f>'1-zapasy'!J62</f>
        <v>3</v>
      </c>
      <c r="E77" s="27" t="str">
        <f>'1-zapasy'!C62</f>
        <v>DOFEK David (KST Vyškov)</v>
      </c>
      <c r="F77" s="28">
        <f>COUNTBLANK('1-zapasy'!I62:'1-zapasy'!J62)</f>
        <v>0</v>
      </c>
      <c r="G77" s="28">
        <f>IF(AND(F77=0,OR($A77=$G72,$E77=$G72)),1,0)</f>
        <v>1</v>
      </c>
      <c r="H77" s="28">
        <f>IF(AND(F77=0,OR(AND($A77=$G72,$B77&gt;$D77),AND($E77=$G72,$D77&gt;$B77))),1,0)</f>
        <v>1</v>
      </c>
      <c r="I77" s="28">
        <f t="shared" si="91"/>
        <v>0</v>
      </c>
      <c r="J77" s="28">
        <f>IF(AND(F77=0,OR(AND($A77=$G72,$B77&lt;$D77),AND($E77=$G72,$D77&lt;$B77))),1,0)</f>
        <v>0</v>
      </c>
      <c r="K77" s="28">
        <f>IF(F77&gt;0,0,IF($A77=$G72,$B77,IF($E77=$G72,$D77,0)))</f>
        <v>3</v>
      </c>
      <c r="L77" s="28">
        <f>IF(F77&gt;0,0,IF($A77=$G72,$D77,IF($E77=$G72,$B77,0)))</f>
        <v>0</v>
      </c>
      <c r="M77">
        <f t="shared" si="92"/>
        <v>2</v>
      </c>
      <c r="N77">
        <f>IF(AND(F77=0,OR($A77=$N72,$E77=$N72)),1,0)</f>
        <v>0</v>
      </c>
      <c r="O77">
        <f>IF(AND(F77=0,OR(AND($A77=$N72,$B77&gt;$D77),AND($E77=$N72,$D77&gt;$B77))),1,0)</f>
        <v>0</v>
      </c>
      <c r="P77">
        <f t="shared" si="93"/>
        <v>0</v>
      </c>
      <c r="Q77">
        <f>IF(AND(F77=0,OR(AND($A77=$N72,$B77&lt;$D77),AND($E77=$N72,$D77&lt;$B77))),1,0)</f>
        <v>0</v>
      </c>
      <c r="R77">
        <f>IF(F77&gt;0,0,IF($A77=$N72,$B77,IF($E77=$N72,$D77,0)))</f>
        <v>0</v>
      </c>
      <c r="S77">
        <f>IF(F77&gt;0,0,IF($A77=$N72,$D77,IF($E77=$N72,$B77,0)))</f>
        <v>0</v>
      </c>
      <c r="T77">
        <f t="shared" si="94"/>
        <v>0</v>
      </c>
      <c r="U77">
        <f>IF(AND(F77=0,OR($A77=$U72,$E77=$U72)),1,0)</f>
        <v>0</v>
      </c>
      <c r="V77">
        <f>IF(AND(F77=0,OR(AND($A77=$U72,$B77&gt;$D77),AND($E77=$U72,$D77&gt;$B77))),1,0)</f>
        <v>0</v>
      </c>
      <c r="W77">
        <f t="shared" si="95"/>
        <v>0</v>
      </c>
      <c r="X77">
        <f>IF(AND(F77=0,OR(AND($A77=$U72,$B77&lt;$D77),AND($E77=$U72,$D77&lt;$B77))),1,0)</f>
        <v>0</v>
      </c>
      <c r="Y77">
        <f>IF(F77&gt;0,0,IF($A77=$U72,$B77,IF($E77=$U72,$D77,0)))</f>
        <v>0</v>
      </c>
      <c r="Z77">
        <f>IF(F77&gt;0,0,IF($A77=$U72,$D77,IF($E77=$U72,$B77,0)))</f>
        <v>0</v>
      </c>
      <c r="AA77">
        <f t="shared" si="96"/>
        <v>0</v>
      </c>
      <c r="AB77">
        <f>IF(AND(F77=0,OR($A77=$AB72,$E77=$AB72)),1,0)</f>
        <v>1</v>
      </c>
      <c r="AC77">
        <f>IF(AND(F77=0,OR(AND($A77=$AB72,$B77&gt;$D77),AND($E77=$AB72,$D77&gt;$B77))),1,0)</f>
        <v>0</v>
      </c>
      <c r="AD77">
        <f t="shared" si="97"/>
        <v>0</v>
      </c>
      <c r="AE77">
        <f>IF(AND(F77=0,OR(AND($A77=$AB72,$B77&lt;$D77),AND($E77=$AB72,$D77&lt;$B77))),1,0)</f>
        <v>1</v>
      </c>
      <c r="AF77">
        <f>IF(F77&gt;0,0,IF($A77=$AB72,$B77,IF($E77=$AB72,$D77,0)))</f>
        <v>0</v>
      </c>
      <c r="AG77">
        <f>IF(F77&gt;0,0,IF($A77=$AB72,$D77,IF($E77=$AB72,$B77,0)))</f>
        <v>3</v>
      </c>
      <c r="AH77">
        <f t="shared" si="98"/>
        <v>0</v>
      </c>
      <c r="AJ77" s="28" t="str">
        <f>AB72</f>
        <v>PAŘÍZEK Richard (SKST Hodonín)</v>
      </c>
      <c r="AK77" s="28">
        <f t="shared" ref="AK77:AQ77" si="102">AB80</f>
        <v>3</v>
      </c>
      <c r="AL77" s="28">
        <f t="shared" si="102"/>
        <v>2</v>
      </c>
      <c r="AM77" s="28">
        <f t="shared" si="102"/>
        <v>0</v>
      </c>
      <c r="AN77" s="28">
        <f t="shared" si="102"/>
        <v>1</v>
      </c>
      <c r="AO77" s="28">
        <f t="shared" si="102"/>
        <v>6</v>
      </c>
      <c r="AP77" s="28">
        <f t="shared" si="102"/>
        <v>3</v>
      </c>
      <c r="AQ77" s="28">
        <f t="shared" si="102"/>
        <v>4</v>
      </c>
      <c r="AS77" s="28" t="str">
        <f>IF($AQ77&lt;=$AQ76,$AJ77,$AJ76)</f>
        <v>PILITOWSKÁ Lea (KST Blansko)</v>
      </c>
      <c r="AT77" s="28">
        <f>VLOOKUP(AS77,$AJ74:$AQ77,8,FALSE)</f>
        <v>2</v>
      </c>
      <c r="AU77" s="28" t="str">
        <f>IF($AT77&lt;=$AT75,$AS77,$AS75)</f>
        <v>ŠIMEČEK Robin (TTC MS Brno)</v>
      </c>
      <c r="AV77" s="28">
        <f>VLOOKUP(AU77,$AS74:$AT77,2,FALSE)</f>
        <v>0</v>
      </c>
      <c r="AW77" s="28" t="str">
        <f>IF($AV77&lt;=$AV74,$AU77,$AU74)</f>
        <v>ŠIMEČEK Robin (TTC MS Brno)</v>
      </c>
      <c r="AX77" s="28">
        <f>VLOOKUP(AW77,$AU74:$AV77,2,FALSE)</f>
        <v>0</v>
      </c>
      <c r="AY77" s="28">
        <f>VLOOKUP(AW77,$AJ74:$AQ77,6,FALSE)</f>
        <v>0</v>
      </c>
      <c r="AZ77" s="28">
        <f>VLOOKUP(AW77,$AJ74:$AQ77,7,FALSE)</f>
        <v>9</v>
      </c>
      <c r="BA77" s="28">
        <f>AY77-AZ77</f>
        <v>-9</v>
      </c>
      <c r="BB77" s="28" t="str">
        <f>IF(AND($AX76=$AX77,$BA77&gt;$BA76),$AW76,$AW77)</f>
        <v>ŠIMEČEK Robin (TTC MS Brno)</v>
      </c>
      <c r="BC77" s="28">
        <f>VLOOKUP(BB77,$AW74:$BA77,2,FALSE)</f>
        <v>0</v>
      </c>
      <c r="BD77" s="28">
        <f>VLOOKUP(BB77,$AW74:$BA77,5,FALSE)</f>
        <v>-9</v>
      </c>
      <c r="BE77" s="28" t="str">
        <f>IF(AND($BC75=$BC77,$BD77&gt;$BD75),$BB75,$BB77)</f>
        <v>ŠIMEČEK Robin (TTC MS Brno)</v>
      </c>
      <c r="BF77" s="28">
        <f>VLOOKUP(BE77,$BB74:$BD77,2,FALSE)</f>
        <v>0</v>
      </c>
      <c r="BG77" s="28">
        <f>VLOOKUP(BE77,$BB74:$BD77,3,FALSE)</f>
        <v>-9</v>
      </c>
      <c r="BH77" s="28" t="str">
        <f>IF(AND($BF74=$BF77,$BG77&gt;$BG74),$BE74,$BE77)</f>
        <v>ŠIMEČEK Robin (TTC MS Brno)</v>
      </c>
      <c r="BI77" s="28">
        <f>VLOOKUP(BH77,$BE74:$BG77,2,FALSE)</f>
        <v>0</v>
      </c>
      <c r="BJ77" s="28">
        <f>VLOOKUP(BH77,$BE74:$BG77,3,FALSE)</f>
        <v>-9</v>
      </c>
      <c r="BK77" s="28">
        <f>VLOOKUP(BH77,$AJ74:$AQ77,6,FALSE)</f>
        <v>0</v>
      </c>
      <c r="BL77" s="28" t="str">
        <f>IF(AND($BI76=$BI77,$BJ76=$BJ77,$BK77&gt;$BK76),$BH76,$BH77)</f>
        <v>ŠIMEČEK Robin (TTC MS Brno)</v>
      </c>
      <c r="BM77" s="28">
        <f>VLOOKUP(BL77,$BH74:$BK77,2,FALSE)</f>
        <v>0</v>
      </c>
      <c r="BN77" s="28">
        <f>VLOOKUP(BL77,$BH74:$BK77,3,FALSE)</f>
        <v>-9</v>
      </c>
      <c r="BO77" s="28">
        <f>VLOOKUP(BL77,$BH74:$BK77,4,FALSE)</f>
        <v>0</v>
      </c>
      <c r="BP77" s="28" t="str">
        <f>IF(AND($BM75=$BM77,$BN75=$BN77,$BO77&gt;$BO75),$BL75,$BL77)</f>
        <v>ŠIMEČEK Robin (TTC MS Brno)</v>
      </c>
      <c r="BQ77" s="28">
        <f>VLOOKUP(BP77,$BL74:$BO77,2,FALSE)</f>
        <v>0</v>
      </c>
      <c r="BR77" s="28">
        <f>VLOOKUP(BP77,$BL74:$BO77,3,FALSE)</f>
        <v>-9</v>
      </c>
      <c r="BS77" s="28">
        <f>VLOOKUP(BP77,$BL74:$BO77,4,FALSE)</f>
        <v>0</v>
      </c>
      <c r="BT77" s="28" t="str">
        <f>IF(AND($BQ74=$BQ77,$BR74=$BR77,$BS77&gt;$BS74),$BP74,$BP77)</f>
        <v>ŠIMEČEK Robin (TTC MS Brno)</v>
      </c>
      <c r="BU77" s="28">
        <f>VLOOKUP(BT77,$BP74:$BS77,2,FALSE)</f>
        <v>0</v>
      </c>
      <c r="BV77" s="28">
        <f>VLOOKUP(BT77,$BP74:$BS77,3,FALSE)</f>
        <v>-9</v>
      </c>
      <c r="BW77" s="28">
        <f>VLOOKUP(BT77,$BP74:$BS77,4,FALSE)</f>
        <v>0</v>
      </c>
      <c r="BX77" s="28" t="str">
        <f>BT77</f>
        <v>ŠIMEČEK Robin (TTC MS Brno)</v>
      </c>
      <c r="BY77" s="28">
        <f>VLOOKUP($BX77,$AJ74:$AQ77,2,FALSE)</f>
        <v>3</v>
      </c>
      <c r="BZ77" s="28">
        <f>VLOOKUP($BX77,$AJ74:$AQ77,3,FALSE)</f>
        <v>0</v>
      </c>
      <c r="CA77" s="28">
        <f>VLOOKUP($BX77,$AJ74:$AQ77,4,FALSE)</f>
        <v>0</v>
      </c>
      <c r="CB77" s="28">
        <f>VLOOKUP($BX77,$AJ74:$AQ77,5,FALSE)</f>
        <v>3</v>
      </c>
      <c r="CC77" s="28">
        <f>VLOOKUP($BX77,$AJ74:$AQ77,6,FALSE)</f>
        <v>0</v>
      </c>
      <c r="CD77" s="28">
        <f>VLOOKUP($BX77,$AJ74:$AQ77,7,FALSE)</f>
        <v>9</v>
      </c>
      <c r="CE77" s="28">
        <f>VLOOKUP($BX77,$AJ74:$AQ77,8,FALSE)</f>
        <v>0</v>
      </c>
      <c r="CF77" s="128" t="str">
        <f>CONCATENATE(CC77,":",CD77)</f>
        <v>0:9</v>
      </c>
    </row>
    <row r="78" spans="1:84" x14ac:dyDescent="0.2">
      <c r="A78" s="27" t="str">
        <f>'1-zapasy'!B63</f>
        <v>PAŘÍZEK Richard (SKST Hodonín)</v>
      </c>
      <c r="B78" s="220">
        <f>'1-zapasy'!I63</f>
        <v>3</v>
      </c>
      <c r="C78" s="220" t="e">
        <f>'3-zapasy'!#REF!</f>
        <v>#REF!</v>
      </c>
      <c r="D78" s="220">
        <f>'1-zapasy'!J63</f>
        <v>0</v>
      </c>
      <c r="E78" s="27" t="str">
        <f>'1-zapasy'!C63</f>
        <v>ŠIMEČEK Robin (TTC MS Brno)</v>
      </c>
      <c r="F78" s="28">
        <f>COUNTBLANK('1-zapasy'!I63:'1-zapasy'!J63)</f>
        <v>0</v>
      </c>
      <c r="G78" s="28">
        <f>IF(AND(F78=0,OR($A78=$G72,$E78=$G72)),1,0)</f>
        <v>0</v>
      </c>
      <c r="H78" s="28">
        <f>IF(AND(F78=0,OR(AND($A78=$G72,$B78&gt;$D78),AND($E78=$G72,$D78&gt;$B78))),1,0)</f>
        <v>0</v>
      </c>
      <c r="I78" s="28">
        <f t="shared" si="91"/>
        <v>0</v>
      </c>
      <c r="J78" s="28">
        <f>IF(AND(F78=0,OR(AND($A78=$G72,$B78&lt;$D78),AND($E78=$G72,$D78&lt;$B78))),1,0)</f>
        <v>0</v>
      </c>
      <c r="K78" s="28">
        <f>IF(F78&gt;0,0,IF($A78=$G72,$B78,IF($E78=$G72,$D78,0)))</f>
        <v>0</v>
      </c>
      <c r="L78" s="28">
        <f>IF(F78&gt;0,0,IF($A78=$G72,$D78,IF($E78=$G72,$B78,0)))</f>
        <v>0</v>
      </c>
      <c r="M78">
        <f t="shared" si="92"/>
        <v>0</v>
      </c>
      <c r="N78">
        <f>IF(AND(F78=0,OR($A78=$N72,$E78=$N72)),1,0)</f>
        <v>1</v>
      </c>
      <c r="O78">
        <f>IF(AND(F78=0,OR(AND($A78=$N72,$B78&gt;$D78),AND($E78=$N72,$D78&gt;$B78))),1,0)</f>
        <v>0</v>
      </c>
      <c r="P78">
        <f t="shared" si="93"/>
        <v>0</v>
      </c>
      <c r="Q78">
        <f>IF(AND(F78=0,OR(AND($A78=$N72,$B78&lt;$D78),AND($E78=$N72,$D78&lt;$B78))),1,0)</f>
        <v>1</v>
      </c>
      <c r="R78">
        <f>IF(F78&gt;0,0,IF($A78=$N72,$B78,IF($E78=$N72,$D78,0)))</f>
        <v>0</v>
      </c>
      <c r="S78">
        <f>IF(F78&gt;0,0,IF($A78=$N72,$D78,IF($E78=$N72,$B78,0)))</f>
        <v>3</v>
      </c>
      <c r="T78">
        <f t="shared" si="94"/>
        <v>0</v>
      </c>
      <c r="U78">
        <f>IF(AND(F78=0,OR($A78=$U72,$E78=$U72)),1,0)</f>
        <v>0</v>
      </c>
      <c r="V78">
        <f>IF(AND(F78=0,OR(AND($A78=$U72,$B78&gt;$D78),AND($E78=$U72,$D78&gt;$B78))),1,0)</f>
        <v>0</v>
      </c>
      <c r="W78">
        <f t="shared" si="95"/>
        <v>0</v>
      </c>
      <c r="X78">
        <f>IF(AND(F78=0,OR(AND($A78=$U72,$B78&lt;$D78),AND($E78=$U72,$D78&lt;$B78))),1,0)</f>
        <v>0</v>
      </c>
      <c r="Y78">
        <f>IF(F78&gt;0,0,IF($A78=$U72,$B78,IF($E78=$U72,$D78,0)))</f>
        <v>0</v>
      </c>
      <c r="Z78">
        <f>IF(F78&gt;0,0,IF($A78=$U72,$D78,IF($E78=$U72,$B78,0)))</f>
        <v>0</v>
      </c>
      <c r="AA78">
        <f t="shared" si="96"/>
        <v>0</v>
      </c>
      <c r="AB78">
        <f>IF(AND(F78=0,OR($A78=$AB72,$E78=$AB72)),1,0)</f>
        <v>1</v>
      </c>
      <c r="AC78">
        <f>IF(AND(F78=0,OR(AND($A78=$AB72,$B78&gt;$D78),AND($E78=$AB72,$D78&gt;$B78))),1,0)</f>
        <v>1</v>
      </c>
      <c r="AD78">
        <f t="shared" si="97"/>
        <v>0</v>
      </c>
      <c r="AE78">
        <f>IF(AND(F78=0,OR(AND($A78=$AB72,$B78&lt;$D78),AND($E78=$AB72,$D78&lt;$B78))),1,0)</f>
        <v>0</v>
      </c>
      <c r="AF78">
        <f>IF(F78&gt;0,0,IF($A78=$AB72,$B78,IF($E78=$AB72,$D78,0)))</f>
        <v>3</v>
      </c>
      <c r="AG78">
        <f>IF(F78&gt;0,0,IF($A78=$AB72,$D78,IF($E78=$AB72,$B78,0)))</f>
        <v>0</v>
      </c>
      <c r="AH78">
        <f t="shared" si="98"/>
        <v>2</v>
      </c>
    </row>
    <row r="79" spans="1:84" x14ac:dyDescent="0.2">
      <c r="A79" s="27" t="str">
        <f>'1-zapasy'!B64</f>
        <v>DOFEK David (KST Vyškov)</v>
      </c>
      <c r="B79" s="220">
        <f>'1-zapasy'!I64</f>
        <v>3</v>
      </c>
      <c r="C79" s="220" t="e">
        <f>'3-zapasy'!#REF!</f>
        <v>#REF!</v>
      </c>
      <c r="D79" s="220">
        <f>'1-zapasy'!J64</f>
        <v>0</v>
      </c>
      <c r="E79" s="27" t="str">
        <f>'1-zapasy'!C64</f>
        <v>PILITOWSKÁ Lea (KST Blansko)</v>
      </c>
      <c r="F79" s="28">
        <f>COUNTBLANK('1-zapasy'!I64:'1-zapasy'!J64)</f>
        <v>0</v>
      </c>
      <c r="G79" s="28">
        <f>IF(AND(F79=0,OR($A79=$G72,$E79=$G72)),1,0)</f>
        <v>1</v>
      </c>
      <c r="H79" s="28">
        <f>IF(AND(F79=0,OR(AND($A79=$G72,$B79&gt;$D79),AND($E79=$G72,$D79&gt;$B79))),1,0)</f>
        <v>1</v>
      </c>
      <c r="I79" s="28">
        <f t="shared" si="91"/>
        <v>0</v>
      </c>
      <c r="J79" s="28">
        <f>IF(AND(F79=0,OR(AND($A79=$G72,$B79&lt;$D79),AND($E79=$G72,$D79&lt;$B79))),1,0)</f>
        <v>0</v>
      </c>
      <c r="K79" s="28">
        <f>IF(F79&gt;0,0,IF($A79=$G72,$B79,IF($E79=$G72,$D79,0)))</f>
        <v>3</v>
      </c>
      <c r="L79" s="28">
        <f>IF(F79&gt;0,0,IF($A79=$G72,$D79,IF($E79=$G72,$B79,0)))</f>
        <v>0</v>
      </c>
      <c r="M79">
        <f t="shared" si="92"/>
        <v>2</v>
      </c>
      <c r="N79">
        <f>IF(AND(F79=0,OR($A79=$N72,$E79=$N72)),1,0)</f>
        <v>0</v>
      </c>
      <c r="O79">
        <f>IF(AND(F79=0,OR(AND($A79=$N72,$B79&gt;$D79),AND($E79=$N72,$D79&gt;$B79))),1,0)</f>
        <v>0</v>
      </c>
      <c r="P79">
        <f t="shared" si="93"/>
        <v>0</v>
      </c>
      <c r="Q79">
        <f>IF(AND(F79=0,OR(AND($A79=$N72,$B79&lt;$D79),AND($E79=$N72,$D79&lt;$B79))),1,0)</f>
        <v>0</v>
      </c>
      <c r="R79">
        <f>IF(F79&gt;0,0,IF($A79=$N72,$B79,IF($E79=$N72,$D79,0)))</f>
        <v>0</v>
      </c>
      <c r="S79">
        <f>IF(F79&gt;0,0,IF($A79=$N72,$D79,IF($E79=$N72,$B79,0)))</f>
        <v>0</v>
      </c>
      <c r="T79">
        <f t="shared" si="94"/>
        <v>0</v>
      </c>
      <c r="U79">
        <f>IF(AND(F79=0,OR($A79=$U72,$E79=$U72)),1,0)</f>
        <v>1</v>
      </c>
      <c r="V79">
        <f>IF(AND(F79=0,OR(AND($A79=$U72,$B79&gt;$D79),AND($E79=$U72,$D79&gt;$B79))),1,0)</f>
        <v>0</v>
      </c>
      <c r="W79">
        <f t="shared" si="95"/>
        <v>0</v>
      </c>
      <c r="X79">
        <f>IF(AND(F79=0,OR(AND($A79=$U72,$B79&lt;$D79),AND($E79=$U72,$D79&lt;$B79))),1,0)</f>
        <v>1</v>
      </c>
      <c r="Y79">
        <f>IF(F79&gt;0,0,IF($A79=$U72,$B79,IF($E79=$U72,$D79,0)))</f>
        <v>0</v>
      </c>
      <c r="Z79">
        <f>IF(F79&gt;0,0,IF($A79=$U72,$D79,IF($E79=$U72,$B79,0)))</f>
        <v>3</v>
      </c>
      <c r="AA79">
        <f t="shared" si="96"/>
        <v>0</v>
      </c>
      <c r="AB79">
        <f>IF(AND(F79=0,OR($A79=$AB72,$E79=$AB72)),1,0)</f>
        <v>0</v>
      </c>
      <c r="AC79">
        <f>IF(AND(F79=0,OR(AND($A79=$AB72,$B79&gt;$D79),AND($E79=$AB72,$D79&gt;$B79))),1,0)</f>
        <v>0</v>
      </c>
      <c r="AD79">
        <f t="shared" si="97"/>
        <v>0</v>
      </c>
      <c r="AE79">
        <f>IF(AND(F79=0,OR(AND($A79=$AB72,$B79&lt;$D79),AND($E79=$AB72,$D79&lt;$B79))),1,0)</f>
        <v>0</v>
      </c>
      <c r="AF79">
        <f>IF(F79&gt;0,0,IF($A79=$AB72,$B79,IF($E79=$AB72,$D79,0)))</f>
        <v>0</v>
      </c>
      <c r="AG79">
        <f>IF(F79&gt;0,0,IF($A79=$AB72,$D79,IF($E79=$AB72,$B79,0)))</f>
        <v>0</v>
      </c>
      <c r="AH79">
        <f t="shared" si="98"/>
        <v>0</v>
      </c>
    </row>
    <row r="80" spans="1:84" x14ac:dyDescent="0.2">
      <c r="G80" s="28">
        <f t="shared" ref="G80:AH80" si="103">SUM(G74:G79)</f>
        <v>3</v>
      </c>
      <c r="H80" s="28">
        <f t="shared" si="103"/>
        <v>3</v>
      </c>
      <c r="I80" s="28">
        <f t="shared" si="103"/>
        <v>0</v>
      </c>
      <c r="J80" s="28">
        <f t="shared" si="103"/>
        <v>0</v>
      </c>
      <c r="K80" s="28">
        <f t="shared" si="103"/>
        <v>9</v>
      </c>
      <c r="L80" s="28">
        <f t="shared" si="103"/>
        <v>0</v>
      </c>
      <c r="M80">
        <f t="shared" si="103"/>
        <v>6</v>
      </c>
      <c r="N80">
        <f t="shared" si="103"/>
        <v>3</v>
      </c>
      <c r="O80">
        <f t="shared" si="103"/>
        <v>0</v>
      </c>
      <c r="P80">
        <f t="shared" si="103"/>
        <v>0</v>
      </c>
      <c r="Q80">
        <f t="shared" si="103"/>
        <v>3</v>
      </c>
      <c r="R80">
        <f t="shared" si="103"/>
        <v>0</v>
      </c>
      <c r="S80">
        <f t="shared" si="103"/>
        <v>9</v>
      </c>
      <c r="T80">
        <f t="shared" si="103"/>
        <v>0</v>
      </c>
      <c r="U80">
        <f t="shared" si="103"/>
        <v>3</v>
      </c>
      <c r="V80">
        <f t="shared" si="103"/>
        <v>1</v>
      </c>
      <c r="W80">
        <f t="shared" si="103"/>
        <v>0</v>
      </c>
      <c r="X80">
        <f t="shared" si="103"/>
        <v>2</v>
      </c>
      <c r="Y80">
        <f t="shared" si="103"/>
        <v>3</v>
      </c>
      <c r="Z80">
        <f t="shared" si="103"/>
        <v>6</v>
      </c>
      <c r="AA80">
        <f t="shared" si="103"/>
        <v>2</v>
      </c>
      <c r="AB80">
        <f t="shared" si="103"/>
        <v>3</v>
      </c>
      <c r="AC80">
        <f t="shared" si="103"/>
        <v>2</v>
      </c>
      <c r="AD80">
        <f t="shared" si="103"/>
        <v>0</v>
      </c>
      <c r="AE80">
        <f t="shared" si="103"/>
        <v>1</v>
      </c>
      <c r="AF80">
        <f t="shared" si="103"/>
        <v>6</v>
      </c>
      <c r="AG80">
        <f t="shared" si="103"/>
        <v>3</v>
      </c>
      <c r="AH80">
        <f t="shared" si="103"/>
        <v>4</v>
      </c>
    </row>
    <row r="82" spans="1:84" x14ac:dyDescent="0.2">
      <c r="A82" s="463" t="str">
        <f>'1-zapasy'!A65</f>
        <v>skupina B3</v>
      </c>
      <c r="B82" s="464"/>
      <c r="C82" s="464"/>
      <c r="D82" s="464"/>
      <c r="E82" s="464"/>
      <c r="F82" s="28" t="s">
        <v>67</v>
      </c>
      <c r="G82" s="465" t="str">
        <f>A84</f>
        <v/>
      </c>
      <c r="H82" s="465"/>
      <c r="I82" s="465"/>
      <c r="J82" s="465"/>
      <c r="K82" s="465"/>
      <c r="L82" s="465"/>
      <c r="M82" s="465"/>
      <c r="N82" s="465" t="str">
        <f>E84</f>
        <v/>
      </c>
      <c r="O82" s="465"/>
      <c r="P82" s="465"/>
      <c r="Q82" s="465"/>
      <c r="R82" s="465"/>
      <c r="S82" s="465"/>
      <c r="T82" s="465"/>
      <c r="U82" s="465" t="str">
        <f>A85</f>
        <v/>
      </c>
      <c r="V82" s="465"/>
      <c r="W82" s="465"/>
      <c r="X82" s="465"/>
      <c r="Y82" s="465"/>
      <c r="Z82" s="465"/>
      <c r="AA82" s="465"/>
      <c r="AB82" s="465" t="str">
        <f>E85</f>
        <v/>
      </c>
      <c r="AC82" s="465"/>
      <c r="AD82" s="465"/>
      <c r="AE82" s="465"/>
      <c r="AF82" s="465"/>
      <c r="AG82" s="465"/>
      <c r="AH82" s="465"/>
      <c r="AJ82" s="465" t="s">
        <v>68</v>
      </c>
      <c r="AK82" s="465"/>
      <c r="AL82" s="465"/>
      <c r="AM82" s="465"/>
      <c r="AN82" s="465"/>
      <c r="AO82" s="465"/>
      <c r="AP82" s="465"/>
      <c r="AQ82" s="465"/>
      <c r="BX82" s="28" t="s">
        <v>69</v>
      </c>
    </row>
    <row r="83" spans="1:84" x14ac:dyDescent="0.2">
      <c r="A83" s="464"/>
      <c r="B83" s="464"/>
      <c r="C83" s="464"/>
      <c r="D83" s="464"/>
      <c r="E83" s="464"/>
      <c r="F83" s="28" t="s">
        <v>70</v>
      </c>
      <c r="G83" s="28" t="s">
        <v>71</v>
      </c>
      <c r="H83" s="28" t="s">
        <v>72</v>
      </c>
      <c r="I83" s="28" t="s">
        <v>73</v>
      </c>
      <c r="J83" s="28" t="s">
        <v>74</v>
      </c>
      <c r="K83" s="28" t="s">
        <v>75</v>
      </c>
      <c r="L83" s="28" t="s">
        <v>76</v>
      </c>
      <c r="M83" s="28" t="s">
        <v>77</v>
      </c>
      <c r="N83" s="28" t="s">
        <v>71</v>
      </c>
      <c r="O83" s="28" t="s">
        <v>72</v>
      </c>
      <c r="P83" s="28" t="s">
        <v>73</v>
      </c>
      <c r="Q83" s="28" t="s">
        <v>74</v>
      </c>
      <c r="R83" s="28" t="s">
        <v>75</v>
      </c>
      <c r="S83" s="28" t="s">
        <v>76</v>
      </c>
      <c r="T83" s="28" t="s">
        <v>77</v>
      </c>
      <c r="U83" s="28" t="s">
        <v>71</v>
      </c>
      <c r="V83" s="28" t="s">
        <v>72</v>
      </c>
      <c r="W83" s="28" t="s">
        <v>73</v>
      </c>
      <c r="X83" s="28" t="s">
        <v>74</v>
      </c>
      <c r="Y83" s="28" t="s">
        <v>75</v>
      </c>
      <c r="Z83" s="28" t="s">
        <v>76</v>
      </c>
      <c r="AA83" s="28" t="s">
        <v>77</v>
      </c>
      <c r="AB83" s="28" t="s">
        <v>71</v>
      </c>
      <c r="AC83" s="28" t="s">
        <v>72</v>
      </c>
      <c r="AD83" s="28" t="s">
        <v>73</v>
      </c>
      <c r="AE83" s="28" t="s">
        <v>74</v>
      </c>
      <c r="AF83" s="28" t="s">
        <v>75</v>
      </c>
      <c r="AG83" s="28" t="s">
        <v>76</v>
      </c>
      <c r="AH83" s="28" t="s">
        <v>77</v>
      </c>
      <c r="AK83" s="28" t="s">
        <v>71</v>
      </c>
      <c r="AL83" s="28" t="s">
        <v>72</v>
      </c>
      <c r="AM83" s="28" t="s">
        <v>73</v>
      </c>
      <c r="AN83" s="28" t="s">
        <v>74</v>
      </c>
      <c r="AO83" s="28" t="s">
        <v>75</v>
      </c>
      <c r="AP83" s="28" t="s">
        <v>76</v>
      </c>
      <c r="AQ83" s="28" t="s">
        <v>77</v>
      </c>
      <c r="AS83" s="28" t="s">
        <v>78</v>
      </c>
      <c r="AU83" s="28" t="s">
        <v>79</v>
      </c>
      <c r="AW83" s="28" t="s">
        <v>80</v>
      </c>
      <c r="AY83" s="28" t="s">
        <v>81</v>
      </c>
      <c r="BB83" s="28" t="s">
        <v>82</v>
      </c>
      <c r="BE83" s="28" t="s">
        <v>83</v>
      </c>
      <c r="BH83" s="28" t="s">
        <v>84</v>
      </c>
      <c r="BK83" s="28" t="s">
        <v>85</v>
      </c>
      <c r="BL83" s="28" t="s">
        <v>86</v>
      </c>
      <c r="BP83" s="28" t="s">
        <v>87</v>
      </c>
      <c r="BT83" s="28" t="s">
        <v>88</v>
      </c>
      <c r="BY83" s="28" t="s">
        <v>65</v>
      </c>
      <c r="BZ83" s="28" t="s">
        <v>89</v>
      </c>
      <c r="CA83" s="28" t="s">
        <v>58</v>
      </c>
      <c r="CB83" s="28" t="s">
        <v>90</v>
      </c>
      <c r="CC83" s="28" t="s">
        <v>51</v>
      </c>
      <c r="CD83" s="28" t="s">
        <v>53</v>
      </c>
      <c r="CE83" s="28" t="s">
        <v>91</v>
      </c>
    </row>
    <row r="84" spans="1:84" x14ac:dyDescent="0.2">
      <c r="A84" s="27" t="str">
        <f>'1-zapasy'!B67</f>
        <v/>
      </c>
      <c r="B84" s="220" t="str">
        <f>'1-zapasy'!I67</f>
        <v/>
      </c>
      <c r="C84" s="220" t="e">
        <f>'3-zapasy'!#REF!</f>
        <v>#REF!</v>
      </c>
      <c r="D84" s="220" t="str">
        <f>'1-zapasy'!J67</f>
        <v/>
      </c>
      <c r="E84" s="27" t="str">
        <f>'1-zapasy'!C67</f>
        <v/>
      </c>
      <c r="F84" s="28">
        <f>COUNTBLANK('1-zapasy'!I67:'1-zapasy'!J67)</f>
        <v>2</v>
      </c>
      <c r="G84" s="28">
        <f>IF(AND(F84=0,OR($A84=$G82,$E84=$G82)),1,0)</f>
        <v>0</v>
      </c>
      <c r="H84" s="28">
        <f>IF(AND(F84=0,OR(AND($A84=$G82,$B84&gt;$D84),AND($E84=$G82,$D84&gt;$B84))),1,0)</f>
        <v>0</v>
      </c>
      <c r="I84" s="28">
        <f t="shared" ref="I84:I89" si="104">IF(AND(F84=0,G84=1,$B84=$D84),1,0)</f>
        <v>0</v>
      </c>
      <c r="J84" s="28">
        <f>IF(AND(F84=0,OR(AND($A84=$G82,$B84&lt;$D84),AND($E84=$G82,$D84&lt;$B84))),1,0)</f>
        <v>0</v>
      </c>
      <c r="K84" s="28">
        <f>IF(F84&gt;0,0,IF($A84=$G82,$B84,IF($E84=$G82,$D84,0)))</f>
        <v>0</v>
      </c>
      <c r="L84" s="28">
        <f>IF(F84&gt;0,0,IF($A84=$G82,$D84,IF($E84=$G82,$B84,0)))</f>
        <v>0</v>
      </c>
      <c r="M84">
        <f t="shared" ref="M84:M89" si="105">(($H84*$B$10)+$I84)</f>
        <v>0</v>
      </c>
      <c r="N84">
        <f>IF(AND(F84=0,OR($A84=$N82,$E84=$N82)),1,0)</f>
        <v>0</v>
      </c>
      <c r="O84">
        <f>IF(AND(F84=0,OR(AND($A84=$N82,$B84&gt;$D84),AND($E84=$N82,$D84&gt;$B84))),1,0)</f>
        <v>0</v>
      </c>
      <c r="P84">
        <f t="shared" ref="P84:P89" si="106">IF(AND(F84=0,N84=1,$B84=$D84),1,0)</f>
        <v>0</v>
      </c>
      <c r="Q84">
        <f>IF(AND(F84=0,OR(AND($A84=$N82,$B84&lt;$D84),AND($E84=$N82,$D84&lt;$B84))),1,0)</f>
        <v>0</v>
      </c>
      <c r="R84">
        <f>IF(F84&gt;0,0,IF($A84=$N82,$B84,IF($E84=$N82,$D84,0)))</f>
        <v>0</v>
      </c>
      <c r="S84">
        <f>IF(F84&gt;0,0,IF($A84=$N82,$D84,IF($E84=$N82,$B84,0)))</f>
        <v>0</v>
      </c>
      <c r="T84">
        <f t="shared" ref="T84:T89" si="107">(($O84*$B$10)+$P84)</f>
        <v>0</v>
      </c>
      <c r="U84">
        <f>IF(AND(F84=0,OR($A84=$U82,$E84=$U82)),1,0)</f>
        <v>0</v>
      </c>
      <c r="V84">
        <f>IF(AND(F84=0,OR(AND($A84=$U82,$B84&gt;$D84),AND($E84=$U82,$D84&gt;$B84))),1,0)</f>
        <v>0</v>
      </c>
      <c r="W84">
        <f t="shared" ref="W84:W89" si="108">IF(AND(F84=0,U84=1,$B84=$D84),1,0)</f>
        <v>0</v>
      </c>
      <c r="X84">
        <f>IF(AND(F84=0,OR(AND($A84=$U82,$B84&lt;$D84),AND($E84=$U82,$D84&lt;$B84))),1,0)</f>
        <v>0</v>
      </c>
      <c r="Y84">
        <f>IF(F84&gt;0,0,IF($A84=$U82,$B84,IF($E84=$U82,$D84,0)))</f>
        <v>0</v>
      </c>
      <c r="Z84">
        <f>IF(F84&gt;0,0,IF($A84=$U82,$D84,IF($E84=$U82,$B84,0)))</f>
        <v>0</v>
      </c>
      <c r="AA84">
        <f t="shared" ref="AA84:AA89" si="109">(($V84*$B$10)+$W84)</f>
        <v>0</v>
      </c>
      <c r="AB84">
        <f>IF(AND(F84=0,OR($A84=$AB82,$E84=$AB82)),1,0)</f>
        <v>0</v>
      </c>
      <c r="AC84">
        <f>IF(AND(F84=0,OR(AND($A84=$AB82,$B84&gt;$D84),AND($E84=$AB82,$D84&gt;$B84))),1,0)</f>
        <v>0</v>
      </c>
      <c r="AD84">
        <f t="shared" ref="AD84:AD89" si="110">IF(AND(F84=0,AB84=1,$B84=$D84),1,0)</f>
        <v>0</v>
      </c>
      <c r="AE84">
        <f>IF(AND(F84=0,OR(AND($A84=$AB82,$B84&lt;$D84),AND($E84=$AB82,$D84&lt;$B84))),1,0)</f>
        <v>0</v>
      </c>
      <c r="AF84">
        <f>IF(F84&gt;0,0,IF($A84=$AB82,$B84,IF($E84=$AB82,$D84,0)))</f>
        <v>0</v>
      </c>
      <c r="AG84">
        <f>IF(F84&gt;0,0,IF($A84=$AB82,$D84,IF($E84=$AB82,$B84,0)))</f>
        <v>0</v>
      </c>
      <c r="AH84">
        <f t="shared" ref="AH84:AH89" si="111">(($AC84*$B$10)+$AD84)</f>
        <v>0</v>
      </c>
      <c r="AJ84" s="28" t="str">
        <f>G82</f>
        <v/>
      </c>
      <c r="AK84" s="28">
        <f t="shared" ref="AK84:AQ84" si="112">G90</f>
        <v>0</v>
      </c>
      <c r="AL84" s="28">
        <f t="shared" si="112"/>
        <v>0</v>
      </c>
      <c r="AM84" s="28">
        <f t="shared" si="112"/>
        <v>0</v>
      </c>
      <c r="AN84" s="28">
        <f t="shared" si="112"/>
        <v>0</v>
      </c>
      <c r="AO84" s="28">
        <f t="shared" si="112"/>
        <v>0</v>
      </c>
      <c r="AP84" s="28">
        <f t="shared" si="112"/>
        <v>0</v>
      </c>
      <c r="AQ84" s="28">
        <f t="shared" si="112"/>
        <v>0</v>
      </c>
      <c r="AS84" s="28" t="str">
        <f>IF($AQ84&gt;=$AQ85,$AJ84,$AJ85)</f>
        <v/>
      </c>
      <c r="AT84" s="28">
        <f>VLOOKUP(AS84,$AJ84:$AQ87,8,FALSE)</f>
        <v>0</v>
      </c>
      <c r="AU84" s="28" t="str">
        <f>IF($AT84&gt;=$AT86,$AS84,$AS86)</f>
        <v/>
      </c>
      <c r="AV84" s="28">
        <f>VLOOKUP(AU84,$AS84:$AT87,2,FALSE)</f>
        <v>0</v>
      </c>
      <c r="AW84" s="28" t="str">
        <f>IF($AV84&gt;=$AV87,$AU84,$AU87)</f>
        <v/>
      </c>
      <c r="AX84" s="28">
        <f>VLOOKUP(AW84,$AU84:$AV87,2,FALSE)</f>
        <v>0</v>
      </c>
      <c r="AY84" s="28">
        <f>VLOOKUP(AW84,$AJ84:$AQ87,6,FALSE)</f>
        <v>0</v>
      </c>
      <c r="AZ84" s="28">
        <f>VLOOKUP(AW84,$AJ84:$AQ87,7,FALSE)</f>
        <v>0</v>
      </c>
      <c r="BA84" s="28">
        <f>AY84-AZ84</f>
        <v>0</v>
      </c>
      <c r="BB84" s="28" t="str">
        <f>IF(AND($AX84=$AX85,$BA85&gt;$BA84),$AW85,$AW84)</f>
        <v/>
      </c>
      <c r="BC84" s="28">
        <f>VLOOKUP(BB84,$AW84:$BA87,2,FALSE)</f>
        <v>0</v>
      </c>
      <c r="BD84" s="28">
        <f>VLOOKUP(BB84,$AW84:$BA87,5,FALSE)</f>
        <v>0</v>
      </c>
      <c r="BE84" s="28" t="str">
        <f>IF(AND($BC84=$BC86,$BD86&gt;$BD84),$BB86,$BB84)</f>
        <v/>
      </c>
      <c r="BF84" s="28">
        <f>VLOOKUP(BE84,$BB84:$BD87,2,FALSE)</f>
        <v>0</v>
      </c>
      <c r="BG84" s="28">
        <f>VLOOKUP(BE84,$BB84:$BD87,3,FALSE)</f>
        <v>0</v>
      </c>
      <c r="BH84" s="28" t="str">
        <f>IF(AND($BF84=$BF87,$BG87&gt;$BG84),$BE87,$BE84)</f>
        <v/>
      </c>
      <c r="BI84" s="28">
        <f>VLOOKUP(BH84,$BE84:$BG87,2,FALSE)</f>
        <v>0</v>
      </c>
      <c r="BJ84" s="28">
        <f>VLOOKUP(BH84,$BE84:$BG87,3,FALSE)</f>
        <v>0</v>
      </c>
      <c r="BK84" s="28">
        <f>VLOOKUP(BH84,$AJ84:$AQ87,6,FALSE)</f>
        <v>0</v>
      </c>
      <c r="BL84" s="28" t="str">
        <f>IF(AND($BI84=$BI85,$BJ84=$BJ85,$BK85&gt;$BK84),$BH85,$BH84)</f>
        <v/>
      </c>
      <c r="BM84" s="28">
        <f>VLOOKUP(BL84,$BH84:$BK87,2,FALSE)</f>
        <v>0</v>
      </c>
      <c r="BN84" s="28">
        <f>VLOOKUP(BL84,$BH84:$BK87,3,FALSE)</f>
        <v>0</v>
      </c>
      <c r="BO84" s="28">
        <f>VLOOKUP(BL84,$BH84:$BK87,4,FALSE)</f>
        <v>0</v>
      </c>
      <c r="BP84" s="28" t="str">
        <f>IF(AND($BM84=$BM86,$BN84=$BN86,$BO86&gt;$BO84),$BL86,$BL84)</f>
        <v/>
      </c>
      <c r="BQ84" s="28">
        <f>VLOOKUP(BP84,$BL84:$BO87,2,FALSE)</f>
        <v>0</v>
      </c>
      <c r="BR84" s="28">
        <f>VLOOKUP(BP84,$BL84:$BO87,3,FALSE)</f>
        <v>0</v>
      </c>
      <c r="BS84" s="28">
        <f>VLOOKUP(BP84,$BL84:$BO87,4,FALSE)</f>
        <v>0</v>
      </c>
      <c r="BT84" s="28" t="str">
        <f>IF(AND($BQ84=$BQ87,$BR84=$BR87,$BS87&gt;$BS84),$BP87,$BP84)</f>
        <v/>
      </c>
      <c r="BU84" s="28">
        <f>VLOOKUP(BT84,$BP84:$BS87,2,FALSE)</f>
        <v>0</v>
      </c>
      <c r="BV84" s="28">
        <f>VLOOKUP(BT84,$BP84:$BS87,3,FALSE)</f>
        <v>0</v>
      </c>
      <c r="BW84" s="28">
        <f>VLOOKUP(BT84,$BP84:$BS87,4,FALSE)</f>
        <v>0</v>
      </c>
      <c r="BX84" s="28" t="str">
        <f>BT84</f>
        <v/>
      </c>
      <c r="BY84" s="28">
        <f>VLOOKUP($BX84,$AJ84:$AQ87,2,FALSE)</f>
        <v>0</v>
      </c>
      <c r="BZ84" s="28">
        <f>VLOOKUP($BX84,$AJ84:$AQ87,3,FALSE)</f>
        <v>0</v>
      </c>
      <c r="CA84" s="28">
        <f>VLOOKUP($BX84,$AJ84:$AQ87,4,FALSE)</f>
        <v>0</v>
      </c>
      <c r="CB84" s="28">
        <f>VLOOKUP($BX84,$AJ84:$AQ87,5,FALSE)</f>
        <v>0</v>
      </c>
      <c r="CC84" s="28">
        <f>VLOOKUP($BX84,$AJ84:$AQ87,6,FALSE)</f>
        <v>0</v>
      </c>
      <c r="CD84" s="28">
        <f>VLOOKUP($BX84,$AJ84:$AQ87,7,FALSE)</f>
        <v>0</v>
      </c>
      <c r="CE84" s="28">
        <f>VLOOKUP($BX84,$AJ84:$AQ87,8,FALSE)</f>
        <v>0</v>
      </c>
      <c r="CF84" s="128" t="str">
        <f>CONCATENATE(CC84,":",CD84)</f>
        <v>0:0</v>
      </c>
    </row>
    <row r="85" spans="1:84" x14ac:dyDescent="0.2">
      <c r="A85" s="27" t="str">
        <f>'1-zapasy'!B68</f>
        <v/>
      </c>
      <c r="B85" s="220" t="str">
        <f>'1-zapasy'!I68</f>
        <v/>
      </c>
      <c r="C85" s="220" t="e">
        <f>'3-zapasy'!#REF!</f>
        <v>#REF!</v>
      </c>
      <c r="D85" s="220" t="str">
        <f>'1-zapasy'!J68</f>
        <v/>
      </c>
      <c r="E85" s="27" t="str">
        <f>'1-zapasy'!C68</f>
        <v/>
      </c>
      <c r="F85" s="28">
        <f>COUNTBLANK('1-zapasy'!I68:'1-zapasy'!J68)</f>
        <v>2</v>
      </c>
      <c r="G85" s="28">
        <f>IF(AND(F85=0,OR($A85=$G82,$E85=$G82)),1,0)</f>
        <v>0</v>
      </c>
      <c r="H85" s="28">
        <f>IF(AND(F85=0,OR(AND($A85=$G82,$B85&gt;$D85),AND($E85=$G82,$D85&gt;$B85))),1,0)</f>
        <v>0</v>
      </c>
      <c r="I85" s="28">
        <f t="shared" si="104"/>
        <v>0</v>
      </c>
      <c r="J85" s="28">
        <f>IF(AND(F85=0,OR(AND($A85=$G82,$B85&lt;$D85),AND($E85=$G82,$D85&lt;$B85))),1,0)</f>
        <v>0</v>
      </c>
      <c r="K85" s="28">
        <f>IF(F85&gt;0,0,IF($A85=$G82,$B85,IF($E85=$G82,$D85,0)))</f>
        <v>0</v>
      </c>
      <c r="L85" s="28">
        <f>IF(F85&gt;0,0,IF($A85=$G82,$D85,IF($E85=$G82,$B85,0)))</f>
        <v>0</v>
      </c>
      <c r="M85">
        <f t="shared" si="105"/>
        <v>0</v>
      </c>
      <c r="N85">
        <f>IF(AND(F85=0,OR($A85=$N82,$E85=$N82)),1,0)</f>
        <v>0</v>
      </c>
      <c r="O85">
        <f>IF(AND(F85=0,OR(AND($A85=$N82,$B85&gt;$D85),AND($E85=$N82,$D85&gt;$B85))),1,0)</f>
        <v>0</v>
      </c>
      <c r="P85">
        <f t="shared" si="106"/>
        <v>0</v>
      </c>
      <c r="Q85">
        <f>IF(AND(F85=0,OR(AND($A85=$N82,$B85&lt;$D85),AND($E85=$N82,$D85&lt;$B85))),1,0)</f>
        <v>0</v>
      </c>
      <c r="R85">
        <f>IF(F85&gt;0,0,IF($A85=$N82,$B85,IF($E85=$N82,$D85,0)))</f>
        <v>0</v>
      </c>
      <c r="S85">
        <f>IF(F85&gt;0,0,IF($A85=$N82,$D85,IF($E85=$N82,$B85,0)))</f>
        <v>0</v>
      </c>
      <c r="T85">
        <f t="shared" si="107"/>
        <v>0</v>
      </c>
      <c r="U85">
        <f>IF(AND(F85=0,OR($A85=$U82,$E85=$U82)),1,0)</f>
        <v>0</v>
      </c>
      <c r="V85">
        <f>IF(AND(F85=0,OR(AND($A85=$U82,$B85&gt;$D85),AND($E85=$U82,$D85&gt;$B85))),1,0)</f>
        <v>0</v>
      </c>
      <c r="W85">
        <f t="shared" si="108"/>
        <v>0</v>
      </c>
      <c r="X85">
        <f>IF(AND(F85=0,OR(AND($A85=$U82,$B85&lt;$D85),AND($E85=$U82,$D85&lt;$B85))),1,0)</f>
        <v>0</v>
      </c>
      <c r="Y85">
        <f>IF(F85&gt;0,0,IF($A85=$U82,$B85,IF($E85=$U82,$D85,0)))</f>
        <v>0</v>
      </c>
      <c r="Z85">
        <f>IF(F85&gt;0,0,IF($A85=$U82,$D85,IF($E85=$U82,$B85,0)))</f>
        <v>0</v>
      </c>
      <c r="AA85">
        <f t="shared" si="109"/>
        <v>0</v>
      </c>
      <c r="AB85">
        <f>IF(AND(F85=0,OR($A85=$AB82,$E85=$AB82)),1,0)</f>
        <v>0</v>
      </c>
      <c r="AC85">
        <f>IF(AND(F85=0,OR(AND($A85=$AB82,$B85&gt;$D85),AND($E85=$AB82,$D85&gt;$B85))),1,0)</f>
        <v>0</v>
      </c>
      <c r="AD85">
        <f t="shared" si="110"/>
        <v>0</v>
      </c>
      <c r="AE85">
        <f>IF(AND(F85=0,OR(AND($A85=$AB82,$B85&lt;$D85),AND($E85=$AB82,$D85&lt;$B85))),1,0)</f>
        <v>0</v>
      </c>
      <c r="AF85">
        <f>IF(F85&gt;0,0,IF($A85=$AB82,$B85,IF($E85=$AB82,$D85,0)))</f>
        <v>0</v>
      </c>
      <c r="AG85">
        <f>IF(F85&gt;0,0,IF($A85=$AB82,$D85,IF($E85=$AB82,$B85,0)))</f>
        <v>0</v>
      </c>
      <c r="AH85">
        <f t="shared" si="111"/>
        <v>0</v>
      </c>
      <c r="AJ85" s="28" t="str">
        <f>N82</f>
        <v/>
      </c>
      <c r="AK85" s="28">
        <f t="shared" ref="AK85:AQ85" si="113">N90</f>
        <v>0</v>
      </c>
      <c r="AL85" s="28">
        <f t="shared" si="113"/>
        <v>0</v>
      </c>
      <c r="AM85" s="28">
        <f t="shared" si="113"/>
        <v>0</v>
      </c>
      <c r="AN85" s="28">
        <f t="shared" si="113"/>
        <v>0</v>
      </c>
      <c r="AO85" s="28">
        <f t="shared" si="113"/>
        <v>0</v>
      </c>
      <c r="AP85" s="28">
        <f t="shared" si="113"/>
        <v>0</v>
      </c>
      <c r="AQ85" s="28">
        <f t="shared" si="113"/>
        <v>0</v>
      </c>
      <c r="AS85" s="28" t="str">
        <f>IF($AQ85&lt;=$AQ84,$AJ85,$AJ84)</f>
        <v/>
      </c>
      <c r="AT85" s="28">
        <f>VLOOKUP(AS85,$AJ84:$AQ87,8,FALSE)</f>
        <v>0</v>
      </c>
      <c r="AU85" s="28" t="str">
        <f>IF($AT85&gt;=$AT87,$AS85,$AS87)</f>
        <v/>
      </c>
      <c r="AV85" s="28">
        <f>VLOOKUP(AU85,$AS84:$AT87,2,FALSE)</f>
        <v>0</v>
      </c>
      <c r="AW85" s="28" t="str">
        <f>IF($AV85&gt;=$AV86,$AU85,$AU86)</f>
        <v/>
      </c>
      <c r="AX85" s="28">
        <f>VLOOKUP(AW85,$AU84:$AV87,2,FALSE)</f>
        <v>0</v>
      </c>
      <c r="AY85" s="28">
        <f>VLOOKUP(AW85,$AJ84:$AQ87,6,FALSE)</f>
        <v>0</v>
      </c>
      <c r="AZ85" s="28">
        <f>VLOOKUP(AW85,$AJ84:$AQ87,7,FALSE)</f>
        <v>0</v>
      </c>
      <c r="BA85" s="28">
        <f>AY85-AZ85</f>
        <v>0</v>
      </c>
      <c r="BB85" s="28" t="str">
        <f>IF(AND($AX84=$AX85,$BA85&gt;$BA84),$AW84,$AW85)</f>
        <v/>
      </c>
      <c r="BC85" s="28">
        <f>VLOOKUP(BB85,$AW84:$BA87,2,FALSE)</f>
        <v>0</v>
      </c>
      <c r="BD85" s="28">
        <f>VLOOKUP(BB85,$AW84:$BA87,5,FALSE)</f>
        <v>0</v>
      </c>
      <c r="BE85" s="28" t="str">
        <f>IF(AND($BC85=$BC87,$BD87&gt;$BD85),$BB87,$BB85)</f>
        <v/>
      </c>
      <c r="BF85" s="28">
        <f>VLOOKUP(BE85,$BB84:$BD87,2,FALSE)</f>
        <v>0</v>
      </c>
      <c r="BG85" s="28">
        <f>VLOOKUP(BE85,$BB84:$BD87,3,FALSE)</f>
        <v>0</v>
      </c>
      <c r="BH85" s="28" t="str">
        <f>IF(AND($BF85=$BF86,$BG86&gt;$BG85),$BE86,$BE85)</f>
        <v/>
      </c>
      <c r="BI85" s="28">
        <f>VLOOKUP(BH85,$BE84:$BG87,2,FALSE)</f>
        <v>0</v>
      </c>
      <c r="BJ85" s="28">
        <f>VLOOKUP(BH85,$BE84:$BG87,3,FALSE)</f>
        <v>0</v>
      </c>
      <c r="BK85" s="28">
        <f>VLOOKUP(BH85,$AJ84:$AQ87,6,FALSE)</f>
        <v>0</v>
      </c>
      <c r="BL85" s="28" t="str">
        <f>IF(AND($BI84=$BI85,$BJ84=$BJ85,$BK85&gt;$BK84),$BH84,$BH85)</f>
        <v/>
      </c>
      <c r="BM85" s="28">
        <f>VLOOKUP(BL85,$BH84:$BK87,2,FALSE)</f>
        <v>0</v>
      </c>
      <c r="BN85" s="28">
        <f>VLOOKUP(BL85,$BH84:$BK87,3,FALSE)</f>
        <v>0</v>
      </c>
      <c r="BO85" s="28">
        <f>VLOOKUP(BL85,$BH84:$BK87,4,FALSE)</f>
        <v>0</v>
      </c>
      <c r="BP85" s="28" t="str">
        <f>IF(AND($BM85=$BM87,$BN85=$BN87,$BO87&gt;$BO85),$BL87,$BL85)</f>
        <v/>
      </c>
      <c r="BQ85" s="28">
        <f>VLOOKUP(BP85,$BL84:$BO87,2,FALSE)</f>
        <v>0</v>
      </c>
      <c r="BR85" s="28">
        <f>VLOOKUP(BP85,$BL84:$BO87,3,FALSE)</f>
        <v>0</v>
      </c>
      <c r="BS85" s="28">
        <f>VLOOKUP(BP85,$BL84:$BO87,4,FALSE)</f>
        <v>0</v>
      </c>
      <c r="BT85" s="28" t="str">
        <f>IF(AND($BQ85=$BQ86,$BR85=$BR86,$BS86&gt;$BS85),$BP86,$BP85)</f>
        <v/>
      </c>
      <c r="BU85" s="28">
        <f>VLOOKUP(BT85,$BP84:$BS87,2,FALSE)</f>
        <v>0</v>
      </c>
      <c r="BV85" s="28">
        <f>VLOOKUP(BT85,$BP84:$BS87,3,FALSE)</f>
        <v>0</v>
      </c>
      <c r="BW85" s="28">
        <f>VLOOKUP(BT85,$BP84:$BS87,4,FALSE)</f>
        <v>0</v>
      </c>
      <c r="BX85" s="28" t="str">
        <f>BT85</f>
        <v/>
      </c>
      <c r="BY85" s="28">
        <f>VLOOKUP($BX85,$AJ84:$AQ87,2,FALSE)</f>
        <v>0</v>
      </c>
      <c r="BZ85" s="28">
        <f>VLOOKUP($BX85,$AJ84:$AQ87,3,FALSE)</f>
        <v>0</v>
      </c>
      <c r="CA85" s="28">
        <f>VLOOKUP($BX85,$AJ84:$AQ87,4,FALSE)</f>
        <v>0</v>
      </c>
      <c r="CB85" s="28">
        <f>VLOOKUP($BX85,$AJ84:$AQ87,5,FALSE)</f>
        <v>0</v>
      </c>
      <c r="CC85" s="28">
        <f>VLOOKUP($BX85,$AJ84:$AQ87,6,FALSE)</f>
        <v>0</v>
      </c>
      <c r="CD85" s="28">
        <f>VLOOKUP($BX85,$AJ84:$AQ87,7,FALSE)</f>
        <v>0</v>
      </c>
      <c r="CE85" s="28">
        <f>VLOOKUP($BX85,$AJ84:$AQ87,8,FALSE)</f>
        <v>0</v>
      </c>
      <c r="CF85" s="128" t="str">
        <f>CONCATENATE(CC85,":",CD85)</f>
        <v>0:0</v>
      </c>
    </row>
    <row r="86" spans="1:84" x14ac:dyDescent="0.2">
      <c r="A86" s="27" t="str">
        <f>'1-zapasy'!B69</f>
        <v/>
      </c>
      <c r="B86" s="220" t="str">
        <f>'1-zapasy'!I69</f>
        <v/>
      </c>
      <c r="C86" s="220" t="e">
        <f>'3-zapasy'!#REF!</f>
        <v>#REF!</v>
      </c>
      <c r="D86" s="220" t="str">
        <f>'1-zapasy'!J69</f>
        <v/>
      </c>
      <c r="E86" s="27" t="str">
        <f>'1-zapasy'!C69</f>
        <v/>
      </c>
      <c r="F86" s="28">
        <f>COUNTBLANK('1-zapasy'!I69:'1-zapasy'!J69)</f>
        <v>2</v>
      </c>
      <c r="G86" s="28">
        <f>IF(AND(F86=0,OR($A86=$G82,$E86=$G82)),1,0)</f>
        <v>0</v>
      </c>
      <c r="H86" s="28">
        <f>IF(AND(F86=0,OR(AND($A86=$G82,$B86&gt;$D86),AND($E86=$G82,$D86&gt;$B86))),1,0)</f>
        <v>0</v>
      </c>
      <c r="I86" s="28">
        <f t="shared" si="104"/>
        <v>0</v>
      </c>
      <c r="J86" s="28">
        <f>IF(AND(F86=0,OR(AND($A86=$G82,$B86&lt;$D86),AND($E86=$G82,$D86&lt;$B86))),1,0)</f>
        <v>0</v>
      </c>
      <c r="K86" s="28">
        <f>IF(F86&gt;0,0,IF($A86=$G82,$B86,IF($E86=$G82,$D86,0)))</f>
        <v>0</v>
      </c>
      <c r="L86" s="28">
        <f>IF(F86&gt;0,0,IF($A86=$G82,$D86,IF($E86=$G82,$B86,0)))</f>
        <v>0</v>
      </c>
      <c r="M86">
        <f t="shared" si="105"/>
        <v>0</v>
      </c>
      <c r="N86">
        <f>IF(AND(F86=0,OR($A86=$N82,$E86=$N82)),1,0)</f>
        <v>0</v>
      </c>
      <c r="O86">
        <f>IF(AND(F86=0,OR(AND($A86=$N82,$B86&gt;$D86),AND($E86=$N82,$D86&gt;$B86))),1,0)</f>
        <v>0</v>
      </c>
      <c r="P86">
        <f t="shared" si="106"/>
        <v>0</v>
      </c>
      <c r="Q86">
        <f>IF(AND(F86=0,OR(AND($A86=$N82,$B86&lt;$D86),AND($E86=$N82,$D86&lt;$B86))),1,0)</f>
        <v>0</v>
      </c>
      <c r="R86">
        <f>IF(F86&gt;0,0,IF($A86=$N82,$B86,IF($E86=$N82,$D86,0)))</f>
        <v>0</v>
      </c>
      <c r="S86">
        <f>IF(F86&gt;0,0,IF($A86=$N82,$D86,IF($E86=$N82,$B86,0)))</f>
        <v>0</v>
      </c>
      <c r="T86">
        <f t="shared" si="107"/>
        <v>0</v>
      </c>
      <c r="U86">
        <f>IF(AND(F86=0,OR($A86=$U82,$E86=$U82)),1,0)</f>
        <v>0</v>
      </c>
      <c r="V86">
        <f>IF(AND(F86=0,OR(AND($A86=$U82,$B86&gt;$D86),AND($E86=$U82,$D86&gt;$B86))),1,0)</f>
        <v>0</v>
      </c>
      <c r="W86">
        <f t="shared" si="108"/>
        <v>0</v>
      </c>
      <c r="X86">
        <f>IF(AND(F86=0,OR(AND($A86=$U82,$B86&lt;$D86),AND($E86=$U82,$D86&lt;$B86))),1,0)</f>
        <v>0</v>
      </c>
      <c r="Y86">
        <f>IF(F86&gt;0,0,IF($A86=$U82,$B86,IF($E86=$U82,$D86,0)))</f>
        <v>0</v>
      </c>
      <c r="Z86">
        <f>IF(F86&gt;0,0,IF($A86=$U82,$D86,IF($E86=$U82,$B86,0)))</f>
        <v>0</v>
      </c>
      <c r="AA86">
        <f t="shared" si="109"/>
        <v>0</v>
      </c>
      <c r="AB86">
        <f>IF(AND(F86=0,OR($A86=$AB82,$E86=$AB82)),1,0)</f>
        <v>0</v>
      </c>
      <c r="AC86">
        <f>IF(AND(F86=0,OR(AND($A86=$AB82,$B86&gt;$D86),AND($E86=$AB82,$D86&gt;$B86))),1,0)</f>
        <v>0</v>
      </c>
      <c r="AD86">
        <f t="shared" si="110"/>
        <v>0</v>
      </c>
      <c r="AE86">
        <f>IF(AND(F86=0,OR(AND($A86=$AB82,$B86&lt;$D86),AND($E86=$AB82,$D86&lt;$B86))),1,0)</f>
        <v>0</v>
      </c>
      <c r="AF86">
        <f>IF(F86&gt;0,0,IF($A86=$AB82,$B86,IF($E86=$AB82,$D86,0)))</f>
        <v>0</v>
      </c>
      <c r="AG86">
        <f>IF(F86&gt;0,0,IF($A86=$AB82,$D86,IF($E86=$AB82,$B86,0)))</f>
        <v>0</v>
      </c>
      <c r="AH86">
        <f t="shared" si="111"/>
        <v>0</v>
      </c>
      <c r="AJ86" s="28" t="str">
        <f>U82</f>
        <v/>
      </c>
      <c r="AK86" s="28">
        <f t="shared" ref="AK86:AQ86" si="114">U90</f>
        <v>0</v>
      </c>
      <c r="AL86" s="28">
        <f t="shared" si="114"/>
        <v>0</v>
      </c>
      <c r="AM86" s="28">
        <f t="shared" si="114"/>
        <v>0</v>
      </c>
      <c r="AN86" s="28">
        <f t="shared" si="114"/>
        <v>0</v>
      </c>
      <c r="AO86" s="28">
        <f t="shared" si="114"/>
        <v>0</v>
      </c>
      <c r="AP86" s="28">
        <f t="shared" si="114"/>
        <v>0</v>
      </c>
      <c r="AQ86" s="28">
        <f t="shared" si="114"/>
        <v>0</v>
      </c>
      <c r="AS86" s="28" t="str">
        <f>IF($AQ86&gt;=$AQ87,$AJ86,$AJ87)</f>
        <v/>
      </c>
      <c r="AT86" s="28">
        <f>VLOOKUP(AS86,$AJ84:$AQ87,8,FALSE)</f>
        <v>0</v>
      </c>
      <c r="AU86" s="28" t="str">
        <f>IF($AT86&lt;=$AT84,$AS86,$AS84)</f>
        <v/>
      </c>
      <c r="AV86" s="28">
        <f>VLOOKUP(AU86,$AS84:$AT87,2,FALSE)</f>
        <v>0</v>
      </c>
      <c r="AW86" s="28" t="str">
        <f>IF($AV86&lt;=$AV85,$AU86,$AU85)</f>
        <v/>
      </c>
      <c r="AX86" s="28">
        <f>VLOOKUP(AW86,$AU84:$AV87,2,FALSE)</f>
        <v>0</v>
      </c>
      <c r="AY86" s="28">
        <f>VLOOKUP(AW86,$AJ84:$AQ87,6,FALSE)</f>
        <v>0</v>
      </c>
      <c r="AZ86" s="28">
        <f>VLOOKUP(AW86,$AJ84:$AQ87,7,FALSE)</f>
        <v>0</v>
      </c>
      <c r="BA86" s="28">
        <f>AY86-AZ86</f>
        <v>0</v>
      </c>
      <c r="BB86" s="28" t="str">
        <f>IF(AND($AX86=$AX87,$BA87&gt;$BA86),$AW87,$AW86)</f>
        <v/>
      </c>
      <c r="BC86" s="28">
        <f>VLOOKUP(BB86,$AW84:$BA87,2,FALSE)</f>
        <v>0</v>
      </c>
      <c r="BD86" s="28">
        <f>VLOOKUP(BB86,$AW84:$BA87,5,FALSE)</f>
        <v>0</v>
      </c>
      <c r="BE86" s="28" t="str">
        <f>IF(AND($BC84=$BC86,$BD86&gt;$BD84),$BB84,$BB86)</f>
        <v/>
      </c>
      <c r="BF86" s="28">
        <f>VLOOKUP(BE86,$BB84:$BD87,2,FALSE)</f>
        <v>0</v>
      </c>
      <c r="BG86" s="28">
        <f>VLOOKUP(BE86,$BB84:$BD87,3,FALSE)</f>
        <v>0</v>
      </c>
      <c r="BH86" s="28" t="str">
        <f>IF(AND($BF85=$BF86,$BG86&gt;$BG85),$BE85,$BE86)</f>
        <v/>
      </c>
      <c r="BI86" s="28">
        <f>VLOOKUP(BH86,$BE84:$BG87,2,FALSE)</f>
        <v>0</v>
      </c>
      <c r="BJ86" s="28">
        <f>VLOOKUP(BH86,$BE84:$BG87,3,FALSE)</f>
        <v>0</v>
      </c>
      <c r="BK86" s="28">
        <f>VLOOKUP(BH86,$AJ84:$AQ87,6,FALSE)</f>
        <v>0</v>
      </c>
      <c r="BL86" s="28" t="str">
        <f>IF(AND($BI86=$BI87,$BJ86=$BJ87,$BK87&gt;$BK86),$BH87,$BH86)</f>
        <v/>
      </c>
      <c r="BM86" s="28">
        <f>VLOOKUP(BL86,$BH84:$BK87,2,FALSE)</f>
        <v>0</v>
      </c>
      <c r="BN86" s="28">
        <f>VLOOKUP(BL86,$BH84:$BK87,3,FALSE)</f>
        <v>0</v>
      </c>
      <c r="BO86" s="28">
        <f>VLOOKUP(BL86,$BH84:$BK87,4,FALSE)</f>
        <v>0</v>
      </c>
      <c r="BP86" s="28" t="str">
        <f>IF(AND($BM84=$BM86,$BN84=$BN86,$BO86&gt;$BO84),$BL84,$BL86)</f>
        <v/>
      </c>
      <c r="BQ86" s="28">
        <f>VLOOKUP(BP86,$BL84:$BO87,2,FALSE)</f>
        <v>0</v>
      </c>
      <c r="BR86" s="28">
        <f>VLOOKUP(BP86,$BL84:$BO87,3,FALSE)</f>
        <v>0</v>
      </c>
      <c r="BS86" s="28">
        <f>VLOOKUP(BP86,$BL84:$BO87,4,FALSE)</f>
        <v>0</v>
      </c>
      <c r="BT86" s="28" t="str">
        <f>IF(AND($BQ85=$BQ86,$BR85=$BR86,$BS86&gt;$BS85),$BP85,$BP86)</f>
        <v/>
      </c>
      <c r="BU86" s="28">
        <f>VLOOKUP(BT86,$BP84:$BS87,2,FALSE)</f>
        <v>0</v>
      </c>
      <c r="BV86" s="28">
        <f>VLOOKUP(BT86,$BP84:$BS87,3,FALSE)</f>
        <v>0</v>
      </c>
      <c r="BW86" s="28">
        <f>VLOOKUP(BT86,$BP84:$BS87,4,FALSE)</f>
        <v>0</v>
      </c>
      <c r="BX86" s="28" t="str">
        <f>BT86</f>
        <v/>
      </c>
      <c r="BY86" s="28">
        <f>VLOOKUP($BX86,$AJ84:$AQ87,2,FALSE)</f>
        <v>0</v>
      </c>
      <c r="BZ86" s="28">
        <f>VLOOKUP($BX86,$AJ84:$AQ87,3,FALSE)</f>
        <v>0</v>
      </c>
      <c r="CA86" s="28">
        <f>VLOOKUP($BX86,$AJ84:$AQ87,4,FALSE)</f>
        <v>0</v>
      </c>
      <c r="CB86" s="28">
        <f>VLOOKUP($BX86,$AJ84:$AQ87,5,FALSE)</f>
        <v>0</v>
      </c>
      <c r="CC86" s="28">
        <f>VLOOKUP($BX86,$AJ84:$AQ87,6,FALSE)</f>
        <v>0</v>
      </c>
      <c r="CD86" s="28">
        <f>VLOOKUP($BX86,$AJ84:$AQ87,7,FALSE)</f>
        <v>0</v>
      </c>
      <c r="CE86" s="28">
        <f>VLOOKUP($BX86,$AJ84:$AQ87,8,FALSE)</f>
        <v>0</v>
      </c>
      <c r="CF86" s="128" t="str">
        <f>CONCATENATE(CC86,":",CD86)</f>
        <v>0:0</v>
      </c>
    </row>
    <row r="87" spans="1:84" x14ac:dyDescent="0.2">
      <c r="A87" s="27" t="str">
        <f>'1-zapasy'!B70</f>
        <v/>
      </c>
      <c r="B87" s="220" t="str">
        <f>'1-zapasy'!I70</f>
        <v/>
      </c>
      <c r="C87" s="220" t="e">
        <f>'3-zapasy'!#REF!</f>
        <v>#REF!</v>
      </c>
      <c r="D87" s="220" t="str">
        <f>'1-zapasy'!J70</f>
        <v/>
      </c>
      <c r="E87" s="27" t="str">
        <f>'1-zapasy'!C70</f>
        <v/>
      </c>
      <c r="F87" s="28">
        <f>COUNTBLANK('1-zapasy'!I70:'1-zapasy'!J70)</f>
        <v>2</v>
      </c>
      <c r="G87" s="28">
        <f>IF(AND(F87=0,OR($A87=$G82,$E87=$G82)),1,0)</f>
        <v>0</v>
      </c>
      <c r="H87" s="28">
        <f>IF(AND(F87=0,OR(AND($A87=$G82,$B87&gt;$D87),AND($E87=$G82,$D87&gt;$B87))),1,0)</f>
        <v>0</v>
      </c>
      <c r="I87" s="28">
        <f t="shared" si="104"/>
        <v>0</v>
      </c>
      <c r="J87" s="28">
        <f>IF(AND(F87=0,OR(AND($A87=$G82,$B87&lt;$D87),AND($E87=$G82,$D87&lt;$B87))),1,0)</f>
        <v>0</v>
      </c>
      <c r="K87" s="28">
        <f>IF(F87&gt;0,0,IF($A87=$G82,$B87,IF($E87=$G82,$D87,0)))</f>
        <v>0</v>
      </c>
      <c r="L87" s="28">
        <f>IF(F87&gt;0,0,IF($A87=$G82,$D87,IF($E87=$G82,$B87,0)))</f>
        <v>0</v>
      </c>
      <c r="M87">
        <f t="shared" si="105"/>
        <v>0</v>
      </c>
      <c r="N87">
        <f>IF(AND(F87=0,OR($A87=$N82,$E87=$N82)),1,0)</f>
        <v>0</v>
      </c>
      <c r="O87">
        <f>IF(AND(F87=0,OR(AND($A87=$N82,$B87&gt;$D87),AND($E87=$N82,$D87&gt;$B87))),1,0)</f>
        <v>0</v>
      </c>
      <c r="P87">
        <f t="shared" si="106"/>
        <v>0</v>
      </c>
      <c r="Q87">
        <f>IF(AND(F87=0,OR(AND($A87=$N82,$B87&lt;$D87),AND($E87=$N82,$D87&lt;$B87))),1,0)</f>
        <v>0</v>
      </c>
      <c r="R87">
        <f>IF(F87&gt;0,0,IF($A87=$N82,$B87,IF($E87=$N82,$D87,0)))</f>
        <v>0</v>
      </c>
      <c r="S87">
        <f>IF(F87&gt;0,0,IF($A87=$N82,$D87,IF($E87=$N82,$B87,0)))</f>
        <v>0</v>
      </c>
      <c r="T87">
        <f t="shared" si="107"/>
        <v>0</v>
      </c>
      <c r="U87">
        <f>IF(AND(F87=0,OR($A87=$U82,$E87=$U82)),1,0)</f>
        <v>0</v>
      </c>
      <c r="V87">
        <f>IF(AND(F87=0,OR(AND($A87=$U82,$B87&gt;$D87),AND($E87=$U82,$D87&gt;$B87))),1,0)</f>
        <v>0</v>
      </c>
      <c r="W87">
        <f t="shared" si="108"/>
        <v>0</v>
      </c>
      <c r="X87">
        <f>IF(AND(F87=0,OR(AND($A87=$U82,$B87&lt;$D87),AND($E87=$U82,$D87&lt;$B87))),1,0)</f>
        <v>0</v>
      </c>
      <c r="Y87">
        <f>IF(F87&gt;0,0,IF($A87=$U82,$B87,IF($E87=$U82,$D87,0)))</f>
        <v>0</v>
      </c>
      <c r="Z87">
        <f>IF(F87&gt;0,0,IF($A87=$U82,$D87,IF($E87=$U82,$B87,0)))</f>
        <v>0</v>
      </c>
      <c r="AA87">
        <f t="shared" si="109"/>
        <v>0</v>
      </c>
      <c r="AB87">
        <f>IF(AND(F87=0,OR($A87=$AB82,$E87=$AB82)),1,0)</f>
        <v>0</v>
      </c>
      <c r="AC87">
        <f>IF(AND(F87=0,OR(AND($A87=$AB82,$B87&gt;$D87),AND($E87=$AB82,$D87&gt;$B87))),1,0)</f>
        <v>0</v>
      </c>
      <c r="AD87">
        <f t="shared" si="110"/>
        <v>0</v>
      </c>
      <c r="AE87">
        <f>IF(AND(F87=0,OR(AND($A87=$AB82,$B87&lt;$D87),AND($E87=$AB82,$D87&lt;$B87))),1,0)</f>
        <v>0</v>
      </c>
      <c r="AF87">
        <f>IF(F87&gt;0,0,IF($A87=$AB82,$B87,IF($E87=$AB82,$D87,0)))</f>
        <v>0</v>
      </c>
      <c r="AG87">
        <f>IF(F87&gt;0,0,IF($A87=$AB82,$D87,IF($E87=$AB82,$B87,0)))</f>
        <v>0</v>
      </c>
      <c r="AH87">
        <f t="shared" si="111"/>
        <v>0</v>
      </c>
      <c r="AJ87" s="28" t="str">
        <f>AB82</f>
        <v/>
      </c>
      <c r="AK87" s="28">
        <f t="shared" ref="AK87:AQ87" si="115">AB90</f>
        <v>0</v>
      </c>
      <c r="AL87" s="28">
        <f t="shared" si="115"/>
        <v>0</v>
      </c>
      <c r="AM87" s="28">
        <f t="shared" si="115"/>
        <v>0</v>
      </c>
      <c r="AN87" s="28">
        <f t="shared" si="115"/>
        <v>0</v>
      </c>
      <c r="AO87" s="28">
        <f t="shared" si="115"/>
        <v>0</v>
      </c>
      <c r="AP87" s="28">
        <f t="shared" si="115"/>
        <v>0</v>
      </c>
      <c r="AQ87" s="28">
        <f t="shared" si="115"/>
        <v>0</v>
      </c>
      <c r="AS87" s="28" t="str">
        <f>IF($AQ87&lt;=$AQ86,$AJ87,$AJ86)</f>
        <v/>
      </c>
      <c r="AT87" s="28">
        <f>VLOOKUP(AS87,$AJ84:$AQ87,8,FALSE)</f>
        <v>0</v>
      </c>
      <c r="AU87" s="28" t="str">
        <f>IF($AT87&lt;=$AT85,$AS87,$AS85)</f>
        <v/>
      </c>
      <c r="AV87" s="28">
        <f>VLOOKUP(AU87,$AS84:$AT87,2,FALSE)</f>
        <v>0</v>
      </c>
      <c r="AW87" s="28" t="str">
        <f>IF($AV87&lt;=$AV84,$AU87,$AU84)</f>
        <v/>
      </c>
      <c r="AX87" s="28">
        <f>VLOOKUP(AW87,$AU84:$AV87,2,FALSE)</f>
        <v>0</v>
      </c>
      <c r="AY87" s="28">
        <f>VLOOKUP(AW87,$AJ84:$AQ87,6,FALSE)</f>
        <v>0</v>
      </c>
      <c r="AZ87" s="28">
        <f>VLOOKUP(AW87,$AJ84:$AQ87,7,FALSE)</f>
        <v>0</v>
      </c>
      <c r="BA87" s="28">
        <f>AY87-AZ87</f>
        <v>0</v>
      </c>
      <c r="BB87" s="28" t="str">
        <f>IF(AND($AX86=$AX87,$BA87&gt;$BA86),$AW86,$AW87)</f>
        <v/>
      </c>
      <c r="BC87" s="28">
        <f>VLOOKUP(BB87,$AW84:$BA87,2,FALSE)</f>
        <v>0</v>
      </c>
      <c r="BD87" s="28">
        <f>VLOOKUP(BB87,$AW84:$BA87,5,FALSE)</f>
        <v>0</v>
      </c>
      <c r="BE87" s="28" t="str">
        <f>IF(AND($BC85=$BC87,$BD87&gt;$BD85),$BB85,$BB87)</f>
        <v/>
      </c>
      <c r="BF87" s="28">
        <f>VLOOKUP(BE87,$BB84:$BD87,2,FALSE)</f>
        <v>0</v>
      </c>
      <c r="BG87" s="28">
        <f>VLOOKUP(BE87,$BB84:$BD87,3,FALSE)</f>
        <v>0</v>
      </c>
      <c r="BH87" s="28" t="str">
        <f>IF(AND($BF84=$BF87,$BG87&gt;$BG84),$BE84,$BE87)</f>
        <v/>
      </c>
      <c r="BI87" s="28">
        <f>VLOOKUP(BH87,$BE84:$BG87,2,FALSE)</f>
        <v>0</v>
      </c>
      <c r="BJ87" s="28">
        <f>VLOOKUP(BH87,$BE84:$BG87,3,FALSE)</f>
        <v>0</v>
      </c>
      <c r="BK87" s="28">
        <f>VLOOKUP(BH87,$AJ84:$AQ87,6,FALSE)</f>
        <v>0</v>
      </c>
      <c r="BL87" s="28" t="str">
        <f>IF(AND($BI86=$BI87,$BJ86=$BJ87,$BK87&gt;$BK86),$BH86,$BH87)</f>
        <v/>
      </c>
      <c r="BM87" s="28">
        <f>VLOOKUP(BL87,$BH84:$BK87,2,FALSE)</f>
        <v>0</v>
      </c>
      <c r="BN87" s="28">
        <f>VLOOKUP(BL87,$BH84:$BK87,3,FALSE)</f>
        <v>0</v>
      </c>
      <c r="BO87" s="28">
        <f>VLOOKUP(BL87,$BH84:$BK87,4,FALSE)</f>
        <v>0</v>
      </c>
      <c r="BP87" s="28" t="str">
        <f>IF(AND($BM85=$BM87,$BN85=$BN87,$BO87&gt;$BO85),$BL85,$BL87)</f>
        <v/>
      </c>
      <c r="BQ87" s="28">
        <f>VLOOKUP(BP87,$BL84:$BO87,2,FALSE)</f>
        <v>0</v>
      </c>
      <c r="BR87" s="28">
        <f>VLOOKUP(BP87,$BL84:$BO87,3,FALSE)</f>
        <v>0</v>
      </c>
      <c r="BS87" s="28">
        <f>VLOOKUP(BP87,$BL84:$BO87,4,FALSE)</f>
        <v>0</v>
      </c>
      <c r="BT87" s="28" t="str">
        <f>IF(AND($BQ84=$BQ87,$BR84=$BR87,$BS87&gt;$BS84),$BP84,$BP87)</f>
        <v/>
      </c>
      <c r="BU87" s="28">
        <f>VLOOKUP(BT87,$BP84:$BS87,2,FALSE)</f>
        <v>0</v>
      </c>
      <c r="BV87" s="28">
        <f>VLOOKUP(BT87,$BP84:$BS87,3,FALSE)</f>
        <v>0</v>
      </c>
      <c r="BW87" s="28">
        <f>VLOOKUP(BT87,$BP84:$BS87,4,FALSE)</f>
        <v>0</v>
      </c>
      <c r="BX87" s="28" t="str">
        <f>BT87</f>
        <v/>
      </c>
      <c r="BY87" s="28">
        <f>VLOOKUP($BX87,$AJ84:$AQ87,2,FALSE)</f>
        <v>0</v>
      </c>
      <c r="BZ87" s="28">
        <f>VLOOKUP($BX87,$AJ84:$AQ87,3,FALSE)</f>
        <v>0</v>
      </c>
      <c r="CA87" s="28">
        <f>VLOOKUP($BX87,$AJ84:$AQ87,4,FALSE)</f>
        <v>0</v>
      </c>
      <c r="CB87" s="28">
        <f>VLOOKUP($BX87,$AJ84:$AQ87,5,FALSE)</f>
        <v>0</v>
      </c>
      <c r="CC87" s="28">
        <f>VLOOKUP($BX87,$AJ84:$AQ87,6,FALSE)</f>
        <v>0</v>
      </c>
      <c r="CD87" s="28">
        <f>VLOOKUP($BX87,$AJ84:$AQ87,7,FALSE)</f>
        <v>0</v>
      </c>
      <c r="CE87" s="28">
        <f>VLOOKUP($BX87,$AJ84:$AQ87,8,FALSE)</f>
        <v>0</v>
      </c>
      <c r="CF87" s="128" t="str">
        <f>CONCATENATE(CC87,":",CD87)</f>
        <v>0:0</v>
      </c>
    </row>
    <row r="88" spans="1:84" x14ac:dyDescent="0.2">
      <c r="A88" s="27" t="str">
        <f>'1-zapasy'!B71</f>
        <v/>
      </c>
      <c r="B88" s="220" t="str">
        <f>'1-zapasy'!I71</f>
        <v/>
      </c>
      <c r="C88" s="220" t="e">
        <f>'3-zapasy'!#REF!</f>
        <v>#REF!</v>
      </c>
      <c r="D88" s="220" t="str">
        <f>'1-zapasy'!J71</f>
        <v/>
      </c>
      <c r="E88" s="27" t="str">
        <f>'1-zapasy'!C71</f>
        <v/>
      </c>
      <c r="F88" s="28">
        <f>COUNTBLANK('1-zapasy'!I71:'1-zapasy'!J71)</f>
        <v>2</v>
      </c>
      <c r="G88" s="28">
        <f>IF(AND(F88=0,OR($A88=$G82,$E88=$G82)),1,0)</f>
        <v>0</v>
      </c>
      <c r="H88" s="28">
        <f>IF(AND(F88=0,OR(AND($A88=$G82,$B88&gt;$D88),AND($E88=$G82,$D88&gt;$B88))),1,0)</f>
        <v>0</v>
      </c>
      <c r="I88" s="28">
        <f t="shared" si="104"/>
        <v>0</v>
      </c>
      <c r="J88" s="28">
        <f>IF(AND(F88=0,OR(AND($A88=$G82,$B88&lt;$D88),AND($E88=$G82,$D88&lt;$B88))),1,0)</f>
        <v>0</v>
      </c>
      <c r="K88" s="28">
        <f>IF(F88&gt;0,0,IF($A88=$G82,$B88,IF($E88=$G82,$D88,0)))</f>
        <v>0</v>
      </c>
      <c r="L88" s="28">
        <f>IF(F88&gt;0,0,IF($A88=$G82,$D88,IF($E88=$G82,$B88,0)))</f>
        <v>0</v>
      </c>
      <c r="M88">
        <f t="shared" si="105"/>
        <v>0</v>
      </c>
      <c r="N88">
        <f>IF(AND(F88=0,OR($A88=$N82,$E88=$N82)),1,0)</f>
        <v>0</v>
      </c>
      <c r="O88">
        <f>IF(AND(F88=0,OR(AND($A88=$N82,$B88&gt;$D88),AND($E88=$N82,$D88&gt;$B88))),1,0)</f>
        <v>0</v>
      </c>
      <c r="P88">
        <f t="shared" si="106"/>
        <v>0</v>
      </c>
      <c r="Q88">
        <f>IF(AND(F88=0,OR(AND($A88=$N82,$B88&lt;$D88),AND($E88=$N82,$D88&lt;$B88))),1,0)</f>
        <v>0</v>
      </c>
      <c r="R88">
        <f>IF(F88&gt;0,0,IF($A88=$N82,$B88,IF($E88=$N82,$D88,0)))</f>
        <v>0</v>
      </c>
      <c r="S88">
        <f>IF(F88&gt;0,0,IF($A88=$N82,$D88,IF($E88=$N82,$B88,0)))</f>
        <v>0</v>
      </c>
      <c r="T88">
        <f t="shared" si="107"/>
        <v>0</v>
      </c>
      <c r="U88">
        <f>IF(AND(F88=0,OR($A88=$U82,$E88=$U82)),1,0)</f>
        <v>0</v>
      </c>
      <c r="V88">
        <f>IF(AND(F88=0,OR(AND($A88=$U82,$B88&gt;$D88),AND($E88=$U82,$D88&gt;$B88))),1,0)</f>
        <v>0</v>
      </c>
      <c r="W88">
        <f t="shared" si="108"/>
        <v>0</v>
      </c>
      <c r="X88">
        <f>IF(AND(F88=0,OR(AND($A88=$U82,$B88&lt;$D88),AND($E88=$U82,$D88&lt;$B88))),1,0)</f>
        <v>0</v>
      </c>
      <c r="Y88">
        <f>IF(F88&gt;0,0,IF($A88=$U82,$B88,IF($E88=$U82,$D88,0)))</f>
        <v>0</v>
      </c>
      <c r="Z88">
        <f>IF(F88&gt;0,0,IF($A88=$U82,$D88,IF($E88=$U82,$B88,0)))</f>
        <v>0</v>
      </c>
      <c r="AA88">
        <f t="shared" si="109"/>
        <v>0</v>
      </c>
      <c r="AB88">
        <f>IF(AND(F88=0,OR($A88=$AB82,$E88=$AB82)),1,0)</f>
        <v>0</v>
      </c>
      <c r="AC88">
        <f>IF(AND(F88=0,OR(AND($A88=$AB82,$B88&gt;$D88),AND($E88=$AB82,$D88&gt;$B88))),1,0)</f>
        <v>0</v>
      </c>
      <c r="AD88">
        <f t="shared" si="110"/>
        <v>0</v>
      </c>
      <c r="AE88">
        <f>IF(AND(F88=0,OR(AND($A88=$AB82,$B88&lt;$D88),AND($E88=$AB82,$D88&lt;$B88))),1,0)</f>
        <v>0</v>
      </c>
      <c r="AF88">
        <f>IF(F88&gt;0,0,IF($A88=$AB82,$B88,IF($E88=$AB82,$D88,0)))</f>
        <v>0</v>
      </c>
      <c r="AG88">
        <f>IF(F88&gt;0,0,IF($A88=$AB82,$D88,IF($E88=$AB82,$B88,0)))</f>
        <v>0</v>
      </c>
      <c r="AH88">
        <f t="shared" si="111"/>
        <v>0</v>
      </c>
    </row>
    <row r="89" spans="1:84" x14ac:dyDescent="0.2">
      <c r="A89" s="27" t="str">
        <f>'1-zapasy'!B72</f>
        <v/>
      </c>
      <c r="B89" s="220" t="str">
        <f>'1-zapasy'!I72</f>
        <v/>
      </c>
      <c r="C89" s="220" t="e">
        <f>'3-zapasy'!#REF!</f>
        <v>#REF!</v>
      </c>
      <c r="D89" s="220" t="str">
        <f>'1-zapasy'!J72</f>
        <v/>
      </c>
      <c r="E89" s="27" t="str">
        <f>'1-zapasy'!C72</f>
        <v/>
      </c>
      <c r="F89" s="28">
        <f>COUNTBLANK('1-zapasy'!I72:'1-zapasy'!J72)</f>
        <v>2</v>
      </c>
      <c r="G89" s="28">
        <f>IF(AND(F89=0,OR($A89=$G82,$E89=$G82)),1,0)</f>
        <v>0</v>
      </c>
      <c r="H89" s="28">
        <f>IF(AND(F89=0,OR(AND($A89=$G82,$B89&gt;$D89),AND($E89=$G82,$D89&gt;$B89))),1,0)</f>
        <v>0</v>
      </c>
      <c r="I89" s="28">
        <f t="shared" si="104"/>
        <v>0</v>
      </c>
      <c r="J89" s="28">
        <f>IF(AND(F89=0,OR(AND($A89=$G82,$B89&lt;$D89),AND($E89=$G82,$D89&lt;$B89))),1,0)</f>
        <v>0</v>
      </c>
      <c r="K89" s="28">
        <f>IF(F89&gt;0,0,IF($A89=$G82,$B89,IF($E89=$G82,$D89,0)))</f>
        <v>0</v>
      </c>
      <c r="L89" s="28">
        <f>IF(F89&gt;0,0,IF($A89=$G82,$D89,IF($E89=$G82,$B89,0)))</f>
        <v>0</v>
      </c>
      <c r="M89">
        <f t="shared" si="105"/>
        <v>0</v>
      </c>
      <c r="N89">
        <f>IF(AND(F89=0,OR($A89=$N82,$E89=$N82)),1,0)</f>
        <v>0</v>
      </c>
      <c r="O89">
        <f>IF(AND(F89=0,OR(AND($A89=$N82,$B89&gt;$D89),AND($E89=$N82,$D89&gt;$B89))),1,0)</f>
        <v>0</v>
      </c>
      <c r="P89">
        <f t="shared" si="106"/>
        <v>0</v>
      </c>
      <c r="Q89">
        <f>IF(AND(F89=0,OR(AND($A89=$N82,$B89&lt;$D89),AND($E89=$N82,$D89&lt;$B89))),1,0)</f>
        <v>0</v>
      </c>
      <c r="R89">
        <f>IF(F89&gt;0,0,IF($A89=$N82,$B89,IF($E89=$N82,$D89,0)))</f>
        <v>0</v>
      </c>
      <c r="S89">
        <f>IF(F89&gt;0,0,IF($A89=$N82,$D89,IF($E89=$N82,$B89,0)))</f>
        <v>0</v>
      </c>
      <c r="T89">
        <f t="shared" si="107"/>
        <v>0</v>
      </c>
      <c r="U89">
        <f>IF(AND(F89=0,OR($A89=$U82,$E89=$U82)),1,0)</f>
        <v>0</v>
      </c>
      <c r="V89">
        <f>IF(AND(F89=0,OR(AND($A89=$U82,$B89&gt;$D89),AND($E89=$U82,$D89&gt;$B89))),1,0)</f>
        <v>0</v>
      </c>
      <c r="W89">
        <f t="shared" si="108"/>
        <v>0</v>
      </c>
      <c r="X89">
        <f>IF(AND(F89=0,OR(AND($A89=$U82,$B89&lt;$D89),AND($E89=$U82,$D89&lt;$B89))),1,0)</f>
        <v>0</v>
      </c>
      <c r="Y89">
        <f>IF(F89&gt;0,0,IF($A89=$U82,$B89,IF($E89=$U82,$D89,0)))</f>
        <v>0</v>
      </c>
      <c r="Z89">
        <f>IF(F89&gt;0,0,IF($A89=$U82,$D89,IF($E89=$U82,$B89,0)))</f>
        <v>0</v>
      </c>
      <c r="AA89">
        <f t="shared" si="109"/>
        <v>0</v>
      </c>
      <c r="AB89">
        <f>IF(AND(F89=0,OR($A89=$AB82,$E89=$AB82)),1,0)</f>
        <v>0</v>
      </c>
      <c r="AC89">
        <f>IF(AND(F89=0,OR(AND($A89=$AB82,$B89&gt;$D89),AND($E89=$AB82,$D89&gt;$B89))),1,0)</f>
        <v>0</v>
      </c>
      <c r="AD89">
        <f t="shared" si="110"/>
        <v>0</v>
      </c>
      <c r="AE89">
        <f>IF(AND(F89=0,OR(AND($A89=$AB82,$B89&lt;$D89),AND($E89=$AB82,$D89&lt;$B89))),1,0)</f>
        <v>0</v>
      </c>
      <c r="AF89">
        <f>IF(F89&gt;0,0,IF($A89=$AB82,$B89,IF($E89=$AB82,$D89,0)))</f>
        <v>0</v>
      </c>
      <c r="AG89">
        <f>IF(F89&gt;0,0,IF($A89=$AB82,$D89,IF($E89=$AB82,$B89,0)))</f>
        <v>0</v>
      </c>
      <c r="AH89">
        <f t="shared" si="111"/>
        <v>0</v>
      </c>
    </row>
    <row r="90" spans="1:84" x14ac:dyDescent="0.2">
      <c r="G90" s="28">
        <f t="shared" ref="G90:AH90" si="116">SUM(G84:G89)</f>
        <v>0</v>
      </c>
      <c r="H90" s="28">
        <f t="shared" si="116"/>
        <v>0</v>
      </c>
      <c r="I90" s="28">
        <f t="shared" si="116"/>
        <v>0</v>
      </c>
      <c r="J90" s="28">
        <f t="shared" si="116"/>
        <v>0</v>
      </c>
      <c r="K90" s="28">
        <f t="shared" si="116"/>
        <v>0</v>
      </c>
      <c r="L90" s="28">
        <f t="shared" si="116"/>
        <v>0</v>
      </c>
      <c r="M90">
        <f t="shared" si="116"/>
        <v>0</v>
      </c>
      <c r="N90">
        <f t="shared" si="116"/>
        <v>0</v>
      </c>
      <c r="O90">
        <f t="shared" si="116"/>
        <v>0</v>
      </c>
      <c r="P90">
        <f t="shared" si="116"/>
        <v>0</v>
      </c>
      <c r="Q90">
        <f t="shared" si="116"/>
        <v>0</v>
      </c>
      <c r="R90">
        <f t="shared" si="116"/>
        <v>0</v>
      </c>
      <c r="S90">
        <f t="shared" si="116"/>
        <v>0</v>
      </c>
      <c r="T90">
        <f t="shared" si="116"/>
        <v>0</v>
      </c>
      <c r="U90">
        <f t="shared" si="116"/>
        <v>0</v>
      </c>
      <c r="V90">
        <f t="shared" si="116"/>
        <v>0</v>
      </c>
      <c r="W90">
        <f t="shared" si="116"/>
        <v>0</v>
      </c>
      <c r="X90">
        <f t="shared" si="116"/>
        <v>0</v>
      </c>
      <c r="Y90">
        <f t="shared" si="116"/>
        <v>0</v>
      </c>
      <c r="Z90">
        <f t="shared" si="116"/>
        <v>0</v>
      </c>
      <c r="AA90">
        <f t="shared" si="116"/>
        <v>0</v>
      </c>
      <c r="AB90">
        <f t="shared" si="116"/>
        <v>0</v>
      </c>
      <c r="AC90">
        <f t="shared" si="116"/>
        <v>0</v>
      </c>
      <c r="AD90">
        <f t="shared" si="116"/>
        <v>0</v>
      </c>
      <c r="AE90">
        <f t="shared" si="116"/>
        <v>0</v>
      </c>
      <c r="AF90">
        <f t="shared" si="116"/>
        <v>0</v>
      </c>
      <c r="AG90">
        <f t="shared" si="116"/>
        <v>0</v>
      </c>
      <c r="AH90">
        <f t="shared" si="116"/>
        <v>0</v>
      </c>
    </row>
    <row r="92" spans="1:84" x14ac:dyDescent="0.2">
      <c r="A92" s="463" t="str">
        <f>'1-zapasy'!A73</f>
        <v>skupina B4</v>
      </c>
      <c r="B92" s="464"/>
      <c r="C92" s="464"/>
      <c r="D92" s="464"/>
      <c r="E92" s="464"/>
      <c r="F92" s="28" t="s">
        <v>67</v>
      </c>
      <c r="G92" s="465" t="str">
        <f>A94</f>
        <v/>
      </c>
      <c r="H92" s="465"/>
      <c r="I92" s="465"/>
      <c r="J92" s="465"/>
      <c r="K92" s="465"/>
      <c r="L92" s="465"/>
      <c r="M92" s="465"/>
      <c r="N92" s="465" t="str">
        <f>E94</f>
        <v/>
      </c>
      <c r="O92" s="465"/>
      <c r="P92" s="465"/>
      <c r="Q92" s="465"/>
      <c r="R92" s="465"/>
      <c r="S92" s="465"/>
      <c r="T92" s="465"/>
      <c r="U92" s="465" t="str">
        <f>A95</f>
        <v/>
      </c>
      <c r="V92" s="465"/>
      <c r="W92" s="465"/>
      <c r="X92" s="465"/>
      <c r="Y92" s="465"/>
      <c r="Z92" s="465"/>
      <c r="AA92" s="465"/>
      <c r="AB92" s="465" t="str">
        <f>E95</f>
        <v/>
      </c>
      <c r="AC92" s="465"/>
      <c r="AD92" s="465"/>
      <c r="AE92" s="465"/>
      <c r="AF92" s="465"/>
      <c r="AG92" s="465"/>
      <c r="AH92" s="465"/>
      <c r="AJ92" s="465" t="s">
        <v>68</v>
      </c>
      <c r="AK92" s="465"/>
      <c r="AL92" s="465"/>
      <c r="AM92" s="465"/>
      <c r="AN92" s="465"/>
      <c r="AO92" s="465"/>
      <c r="AP92" s="465"/>
      <c r="AQ92" s="465"/>
      <c r="BX92" s="28" t="s">
        <v>69</v>
      </c>
    </row>
    <row r="93" spans="1:84" x14ac:dyDescent="0.2">
      <c r="A93" s="464"/>
      <c r="B93" s="464"/>
      <c r="C93" s="464"/>
      <c r="D93" s="464"/>
      <c r="E93" s="464"/>
      <c r="F93" s="28" t="s">
        <v>70</v>
      </c>
      <c r="G93" s="28" t="s">
        <v>71</v>
      </c>
      <c r="H93" s="28" t="s">
        <v>72</v>
      </c>
      <c r="I93" s="28" t="s">
        <v>73</v>
      </c>
      <c r="J93" s="28" t="s">
        <v>74</v>
      </c>
      <c r="K93" s="28" t="s">
        <v>75</v>
      </c>
      <c r="L93" s="28" t="s">
        <v>76</v>
      </c>
      <c r="M93" s="28" t="s">
        <v>77</v>
      </c>
      <c r="N93" s="28" t="s">
        <v>71</v>
      </c>
      <c r="O93" s="28" t="s">
        <v>72</v>
      </c>
      <c r="P93" s="28" t="s">
        <v>73</v>
      </c>
      <c r="Q93" s="28" t="s">
        <v>74</v>
      </c>
      <c r="R93" s="28" t="s">
        <v>75</v>
      </c>
      <c r="S93" s="28" t="s">
        <v>76</v>
      </c>
      <c r="T93" s="28" t="s">
        <v>77</v>
      </c>
      <c r="U93" s="28" t="s">
        <v>71</v>
      </c>
      <c r="V93" s="28" t="s">
        <v>72</v>
      </c>
      <c r="W93" s="28" t="s">
        <v>73</v>
      </c>
      <c r="X93" s="28" t="s">
        <v>74</v>
      </c>
      <c r="Y93" s="28" t="s">
        <v>75</v>
      </c>
      <c r="Z93" s="28" t="s">
        <v>76</v>
      </c>
      <c r="AA93" s="28" t="s">
        <v>77</v>
      </c>
      <c r="AB93" s="28" t="s">
        <v>71</v>
      </c>
      <c r="AC93" s="28" t="s">
        <v>72</v>
      </c>
      <c r="AD93" s="28" t="s">
        <v>73</v>
      </c>
      <c r="AE93" s="28" t="s">
        <v>74</v>
      </c>
      <c r="AF93" s="28" t="s">
        <v>75</v>
      </c>
      <c r="AG93" s="28" t="s">
        <v>76</v>
      </c>
      <c r="AH93" s="28" t="s">
        <v>77</v>
      </c>
      <c r="AK93" s="28" t="s">
        <v>71</v>
      </c>
      <c r="AL93" s="28" t="s">
        <v>72</v>
      </c>
      <c r="AM93" s="28" t="s">
        <v>73</v>
      </c>
      <c r="AN93" s="28" t="s">
        <v>74</v>
      </c>
      <c r="AO93" s="28" t="s">
        <v>75</v>
      </c>
      <c r="AP93" s="28" t="s">
        <v>76</v>
      </c>
      <c r="AQ93" s="28" t="s">
        <v>77</v>
      </c>
      <c r="AS93" s="28" t="s">
        <v>78</v>
      </c>
      <c r="AU93" s="28" t="s">
        <v>79</v>
      </c>
      <c r="AW93" s="28" t="s">
        <v>80</v>
      </c>
      <c r="AY93" s="28" t="s">
        <v>81</v>
      </c>
      <c r="BB93" s="28" t="s">
        <v>82</v>
      </c>
      <c r="BE93" s="28" t="s">
        <v>83</v>
      </c>
      <c r="BH93" s="28" t="s">
        <v>84</v>
      </c>
      <c r="BK93" s="28" t="s">
        <v>85</v>
      </c>
      <c r="BL93" s="28" t="s">
        <v>86</v>
      </c>
      <c r="BP93" s="28" t="s">
        <v>87</v>
      </c>
      <c r="BT93" s="28" t="s">
        <v>88</v>
      </c>
      <c r="BY93" s="28" t="s">
        <v>65</v>
      </c>
      <c r="BZ93" s="28" t="s">
        <v>89</v>
      </c>
      <c r="CA93" s="28" t="s">
        <v>58</v>
      </c>
      <c r="CB93" s="28" t="s">
        <v>90</v>
      </c>
      <c r="CC93" s="28" t="s">
        <v>51</v>
      </c>
      <c r="CD93" s="28" t="s">
        <v>53</v>
      </c>
      <c r="CE93" s="28" t="s">
        <v>91</v>
      </c>
    </row>
    <row r="94" spans="1:84" x14ac:dyDescent="0.2">
      <c r="A94" s="27" t="str">
        <f>'1-zapasy'!B75</f>
        <v/>
      </c>
      <c r="B94" s="220" t="str">
        <f>'1-zapasy'!I75</f>
        <v/>
      </c>
      <c r="C94" s="220" t="e">
        <f>'3-zapasy'!#REF!</f>
        <v>#REF!</v>
      </c>
      <c r="D94" s="220" t="str">
        <f>'1-zapasy'!J75</f>
        <v/>
      </c>
      <c r="E94" s="27" t="str">
        <f>'1-zapasy'!C75</f>
        <v/>
      </c>
      <c r="F94" s="28">
        <f>COUNTBLANK('1-zapasy'!I75:'1-zapasy'!J75)</f>
        <v>2</v>
      </c>
      <c r="G94" s="28">
        <f>IF(AND(F94=0,OR($A94=$G92,$E94=$G92)),1,0)</f>
        <v>0</v>
      </c>
      <c r="H94" s="28">
        <f>IF(AND(F94=0,OR(AND($A94=$G92,$B94&gt;$D94),AND($E94=$G92,$D94&gt;$B94))),1,0)</f>
        <v>0</v>
      </c>
      <c r="I94" s="28">
        <f t="shared" ref="I94:I99" si="117">IF(AND(F94=0,G94=1,$B94=$D94),1,0)</f>
        <v>0</v>
      </c>
      <c r="J94" s="28">
        <f>IF(AND(F94=0,OR(AND($A94=$G92,$B94&lt;$D94),AND($E94=$G92,$D94&lt;$B94))),1,0)</f>
        <v>0</v>
      </c>
      <c r="K94" s="28">
        <f>IF(F94&gt;0,0,IF($A94=$G92,$B94,IF($E94=$G92,$D94,0)))</f>
        <v>0</v>
      </c>
      <c r="L94" s="28">
        <f>IF(F94&gt;0,0,IF($A94=$G92,$D94,IF($E94=$G92,$B94,0)))</f>
        <v>0</v>
      </c>
      <c r="M94">
        <f t="shared" ref="M94:M99" si="118">(($H94*$B$10)+$I94)</f>
        <v>0</v>
      </c>
      <c r="N94">
        <f>IF(AND(F94=0,OR($A94=$N92,$E94=$N92)),1,0)</f>
        <v>0</v>
      </c>
      <c r="O94">
        <f>IF(AND(F94=0,OR(AND($A94=$N92,$B94&gt;$D94),AND($E94=$N92,$D94&gt;$B94))),1,0)</f>
        <v>0</v>
      </c>
      <c r="P94">
        <f t="shared" ref="P94:P99" si="119">IF(AND(F94=0,N94=1,$B94=$D94),1,0)</f>
        <v>0</v>
      </c>
      <c r="Q94">
        <f>IF(AND(F94=0,OR(AND($A94=$N92,$B94&lt;$D94),AND($E94=$N92,$D94&lt;$B94))),1,0)</f>
        <v>0</v>
      </c>
      <c r="R94">
        <f>IF(F94&gt;0,0,IF($A94=$N92,$B94,IF($E94=$N92,$D94,0)))</f>
        <v>0</v>
      </c>
      <c r="S94">
        <f>IF(F94&gt;0,0,IF($A94=$N92,$D94,IF($E94=$N92,$B94,0)))</f>
        <v>0</v>
      </c>
      <c r="T94">
        <f t="shared" ref="T94:T99" si="120">(($O94*$B$10)+$P94)</f>
        <v>0</v>
      </c>
      <c r="U94">
        <f>IF(AND(F94=0,OR($A94=$U92,$E94=$U92)),1,0)</f>
        <v>0</v>
      </c>
      <c r="V94">
        <f>IF(AND(F94=0,OR(AND($A94=$U92,$B94&gt;$D94),AND($E94=$U92,$D94&gt;$B94))),1,0)</f>
        <v>0</v>
      </c>
      <c r="W94">
        <f t="shared" ref="W94:W99" si="121">IF(AND(F94=0,U94=1,$B94=$D94),1,0)</f>
        <v>0</v>
      </c>
      <c r="X94">
        <f>IF(AND(F94=0,OR(AND($A94=$U92,$B94&lt;$D94),AND($E94=$U92,$D94&lt;$B94))),1,0)</f>
        <v>0</v>
      </c>
      <c r="Y94">
        <f>IF(F94&gt;0,0,IF($A94=$U92,$B94,IF($E94=$U92,$D94,0)))</f>
        <v>0</v>
      </c>
      <c r="Z94">
        <f>IF(F94&gt;0,0,IF($A94=$U92,$D94,IF($E94=$U92,$B94,0)))</f>
        <v>0</v>
      </c>
      <c r="AA94">
        <f t="shared" ref="AA94:AA99" si="122">(($V94*$B$10)+$W94)</f>
        <v>0</v>
      </c>
      <c r="AB94">
        <f>IF(AND(F94=0,OR($A94=$AB92,$E94=$AB92)),1,0)</f>
        <v>0</v>
      </c>
      <c r="AC94">
        <f>IF(AND(F94=0,OR(AND($A94=$AB92,$B94&gt;$D94),AND($E94=$AB92,$D94&gt;$B94))),1,0)</f>
        <v>0</v>
      </c>
      <c r="AD94">
        <f t="shared" ref="AD94:AD99" si="123">IF(AND(F94=0,AB94=1,$B94=$D94),1,0)</f>
        <v>0</v>
      </c>
      <c r="AE94">
        <f>IF(AND(F94=0,OR(AND($A94=$AB92,$B94&lt;$D94),AND($E94=$AB92,$D94&lt;$B94))),1,0)</f>
        <v>0</v>
      </c>
      <c r="AF94">
        <f>IF(F94&gt;0,0,IF($A94=$AB92,$B94,IF($E94=$AB92,$D94,0)))</f>
        <v>0</v>
      </c>
      <c r="AG94">
        <f>IF(F94&gt;0,0,IF($A94=$AB92,$D94,IF($E94=$AB92,$B94,0)))</f>
        <v>0</v>
      </c>
      <c r="AH94">
        <f t="shared" ref="AH94:AH99" si="124">(($AC94*$B$10)+$AD94)</f>
        <v>0</v>
      </c>
      <c r="AJ94" s="28" t="str">
        <f>G92</f>
        <v/>
      </c>
      <c r="AK94" s="28">
        <f t="shared" ref="AK94:AQ94" si="125">G100</f>
        <v>0</v>
      </c>
      <c r="AL94" s="28">
        <f t="shared" si="125"/>
        <v>0</v>
      </c>
      <c r="AM94" s="28">
        <f t="shared" si="125"/>
        <v>0</v>
      </c>
      <c r="AN94" s="28">
        <f t="shared" si="125"/>
        <v>0</v>
      </c>
      <c r="AO94" s="28">
        <f t="shared" si="125"/>
        <v>0</v>
      </c>
      <c r="AP94" s="28">
        <f t="shared" si="125"/>
        <v>0</v>
      </c>
      <c r="AQ94" s="28">
        <f t="shared" si="125"/>
        <v>0</v>
      </c>
      <c r="AS94" s="28" t="str">
        <f>IF($AQ94&gt;=$AQ95,$AJ94,$AJ95)</f>
        <v/>
      </c>
      <c r="AT94" s="28">
        <f>VLOOKUP(AS94,$AJ94:$AQ97,8,FALSE)</f>
        <v>0</v>
      </c>
      <c r="AU94" s="28" t="str">
        <f>IF($AT94&gt;=$AT96,$AS94,$AS96)</f>
        <v/>
      </c>
      <c r="AV94" s="28">
        <f>VLOOKUP(AU94,$AS94:$AT97,2,FALSE)</f>
        <v>0</v>
      </c>
      <c r="AW94" s="28" t="str">
        <f>IF($AV94&gt;=$AV97,$AU94,$AU97)</f>
        <v/>
      </c>
      <c r="AX94" s="28">
        <f>VLOOKUP(AW94,$AU94:$AV97,2,FALSE)</f>
        <v>0</v>
      </c>
      <c r="AY94" s="28">
        <f>VLOOKUP(AW94,$AJ94:$AQ97,6,FALSE)</f>
        <v>0</v>
      </c>
      <c r="AZ94" s="28">
        <f>VLOOKUP(AW94,$AJ94:$AQ97,7,FALSE)</f>
        <v>0</v>
      </c>
      <c r="BA94" s="28">
        <f>AY94-AZ94</f>
        <v>0</v>
      </c>
      <c r="BB94" s="28" t="str">
        <f>IF(AND($AX94=$AX95,$BA95&gt;$BA94),$AW95,$AW94)</f>
        <v/>
      </c>
      <c r="BC94" s="28">
        <f>VLOOKUP(BB94,$AW94:$BA97,2,FALSE)</f>
        <v>0</v>
      </c>
      <c r="BD94" s="28">
        <f>VLOOKUP(BB94,$AW94:$BA97,5,FALSE)</f>
        <v>0</v>
      </c>
      <c r="BE94" s="28" t="str">
        <f>IF(AND($BC94=$BC96,$BD96&gt;$BD94),$BB96,$BB94)</f>
        <v/>
      </c>
      <c r="BF94" s="28">
        <f>VLOOKUP(BE94,$BB94:$BD97,2,FALSE)</f>
        <v>0</v>
      </c>
      <c r="BG94" s="28">
        <f>VLOOKUP(BE94,$BB94:$BD97,3,FALSE)</f>
        <v>0</v>
      </c>
      <c r="BH94" s="28" t="str">
        <f>IF(AND($BF94=$BF97,$BG97&gt;$BG94),$BE97,$BE94)</f>
        <v/>
      </c>
      <c r="BI94" s="28">
        <f>VLOOKUP(BH94,$BE94:$BG97,2,FALSE)</f>
        <v>0</v>
      </c>
      <c r="BJ94" s="28">
        <f>VLOOKUP(BH94,$BE94:$BG97,3,FALSE)</f>
        <v>0</v>
      </c>
      <c r="BK94" s="28">
        <f>VLOOKUP(BH94,$AJ94:$AQ97,6,FALSE)</f>
        <v>0</v>
      </c>
      <c r="BL94" s="28" t="str">
        <f>IF(AND($BI94=$BI95,$BJ94=$BJ95,$BK95&gt;$BK94),$BH95,$BH94)</f>
        <v/>
      </c>
      <c r="BM94" s="28">
        <f>VLOOKUP(BL94,$BH94:$BK97,2,FALSE)</f>
        <v>0</v>
      </c>
      <c r="BN94" s="28">
        <f>VLOOKUP(BL94,$BH94:$BK97,3,FALSE)</f>
        <v>0</v>
      </c>
      <c r="BO94" s="28">
        <f>VLOOKUP(BL94,$BH94:$BK97,4,FALSE)</f>
        <v>0</v>
      </c>
      <c r="BP94" s="28" t="str">
        <f>IF(AND($BM94=$BM96,$BN94=$BN96,$BO96&gt;$BO94),$BL96,$BL94)</f>
        <v/>
      </c>
      <c r="BQ94" s="28">
        <f>VLOOKUP(BP94,$BL94:$BO97,2,FALSE)</f>
        <v>0</v>
      </c>
      <c r="BR94" s="28">
        <f>VLOOKUP(BP94,$BL94:$BO97,3,FALSE)</f>
        <v>0</v>
      </c>
      <c r="BS94" s="28">
        <f>VLOOKUP(BP94,$BL94:$BO97,4,FALSE)</f>
        <v>0</v>
      </c>
      <c r="BT94" s="28" t="str">
        <f>IF(AND($BQ94=$BQ97,$BR94=$BR97,$BS97&gt;$BS94),$BP97,$BP94)</f>
        <v/>
      </c>
      <c r="BU94" s="28">
        <f>VLOOKUP(BT94,$BP94:$BS97,2,FALSE)</f>
        <v>0</v>
      </c>
      <c r="BV94" s="28">
        <f>VLOOKUP(BT94,$BP94:$BS97,3,FALSE)</f>
        <v>0</v>
      </c>
      <c r="BW94" s="28">
        <f>VLOOKUP(BT94,$BP94:$BS97,4,FALSE)</f>
        <v>0</v>
      </c>
      <c r="BX94" s="28" t="str">
        <f>BT94</f>
        <v/>
      </c>
      <c r="BY94" s="28">
        <f>VLOOKUP($BX94,$AJ94:$AQ97,2,FALSE)</f>
        <v>0</v>
      </c>
      <c r="BZ94" s="28">
        <f>VLOOKUP($BX94,$AJ94:$AQ97,3,FALSE)</f>
        <v>0</v>
      </c>
      <c r="CA94" s="28">
        <f>VLOOKUP($BX94,$AJ94:$AQ97,4,FALSE)</f>
        <v>0</v>
      </c>
      <c r="CB94" s="28">
        <f>VLOOKUP($BX94,$AJ94:$AQ97,5,FALSE)</f>
        <v>0</v>
      </c>
      <c r="CC94" s="28">
        <f>VLOOKUP($BX94,$AJ94:$AQ97,6,FALSE)</f>
        <v>0</v>
      </c>
      <c r="CD94" s="28">
        <f>VLOOKUP($BX94,$AJ94:$AQ97,7,FALSE)</f>
        <v>0</v>
      </c>
      <c r="CE94" s="28">
        <f>VLOOKUP($BX94,$AJ94:$AQ97,8,FALSE)</f>
        <v>0</v>
      </c>
      <c r="CF94" s="128" t="str">
        <f>CONCATENATE(CC94,":",CD94)</f>
        <v>0:0</v>
      </c>
    </row>
    <row r="95" spans="1:84" x14ac:dyDescent="0.2">
      <c r="A95" s="27" t="str">
        <f>'1-zapasy'!B76</f>
        <v/>
      </c>
      <c r="B95" s="220" t="str">
        <f>'1-zapasy'!I76</f>
        <v/>
      </c>
      <c r="C95" s="220" t="e">
        <f>'3-zapasy'!#REF!</f>
        <v>#REF!</v>
      </c>
      <c r="D95" s="220" t="str">
        <f>'1-zapasy'!J76</f>
        <v/>
      </c>
      <c r="E95" s="27" t="str">
        <f>'1-zapasy'!C76</f>
        <v/>
      </c>
      <c r="F95" s="28">
        <f>COUNTBLANK('1-zapasy'!I76:'1-zapasy'!J76)</f>
        <v>2</v>
      </c>
      <c r="G95" s="28">
        <f>IF(AND(F95=0,OR($A95=$G92,$E95=$G92)),1,0)</f>
        <v>0</v>
      </c>
      <c r="H95" s="28">
        <f>IF(AND(F95=0,OR(AND($A95=$G92,$B95&gt;$D95),AND($E95=$G92,$D95&gt;$B95))),1,0)</f>
        <v>0</v>
      </c>
      <c r="I95" s="28">
        <f t="shared" si="117"/>
        <v>0</v>
      </c>
      <c r="J95" s="28">
        <f>IF(AND(F95=0,OR(AND($A95=$G92,$B95&lt;$D95),AND($E95=$G92,$D95&lt;$B95))),1,0)</f>
        <v>0</v>
      </c>
      <c r="K95" s="28">
        <f>IF(F95&gt;0,0,IF($A95=$G92,$B95,IF($E95=$G92,$D95,0)))</f>
        <v>0</v>
      </c>
      <c r="L95" s="28">
        <f>IF(F95&gt;0,0,IF($A95=$G92,$D95,IF($E95=$G92,$B95,0)))</f>
        <v>0</v>
      </c>
      <c r="M95">
        <f t="shared" si="118"/>
        <v>0</v>
      </c>
      <c r="N95">
        <f>IF(AND(F95=0,OR($A95=$N92,$E95=$N92)),1,0)</f>
        <v>0</v>
      </c>
      <c r="O95">
        <f>IF(AND(F95=0,OR(AND($A95=$N92,$B95&gt;$D95),AND($E95=$N92,$D95&gt;$B95))),1,0)</f>
        <v>0</v>
      </c>
      <c r="P95">
        <f t="shared" si="119"/>
        <v>0</v>
      </c>
      <c r="Q95">
        <f>IF(AND(F95=0,OR(AND($A95=$N92,$B95&lt;$D95),AND($E95=$N92,$D95&lt;$B95))),1,0)</f>
        <v>0</v>
      </c>
      <c r="R95">
        <f>IF(F95&gt;0,0,IF($A95=$N92,$B95,IF($E95=$N92,$D95,0)))</f>
        <v>0</v>
      </c>
      <c r="S95">
        <f>IF(F95&gt;0,0,IF($A95=$N92,$D95,IF($E95=$N92,$B95,0)))</f>
        <v>0</v>
      </c>
      <c r="T95">
        <f t="shared" si="120"/>
        <v>0</v>
      </c>
      <c r="U95">
        <f>IF(AND(F95=0,OR($A95=$U92,$E95=$U92)),1,0)</f>
        <v>0</v>
      </c>
      <c r="V95">
        <f>IF(AND(F95=0,OR(AND($A95=$U92,$B95&gt;$D95),AND($E95=$U92,$D95&gt;$B95))),1,0)</f>
        <v>0</v>
      </c>
      <c r="W95">
        <f t="shared" si="121"/>
        <v>0</v>
      </c>
      <c r="X95">
        <f>IF(AND(F95=0,OR(AND($A95=$U92,$B95&lt;$D95),AND($E95=$U92,$D95&lt;$B95))),1,0)</f>
        <v>0</v>
      </c>
      <c r="Y95">
        <f>IF(F95&gt;0,0,IF($A95=$U92,$B95,IF($E95=$U92,$D95,0)))</f>
        <v>0</v>
      </c>
      <c r="Z95">
        <f>IF(F95&gt;0,0,IF($A95=$U92,$D95,IF($E95=$U92,$B95,0)))</f>
        <v>0</v>
      </c>
      <c r="AA95">
        <f t="shared" si="122"/>
        <v>0</v>
      </c>
      <c r="AB95">
        <f>IF(AND(F95=0,OR($A95=$AB92,$E95=$AB92)),1,0)</f>
        <v>0</v>
      </c>
      <c r="AC95">
        <f>IF(AND(F95=0,OR(AND($A95=$AB92,$B95&gt;$D95),AND($E95=$AB92,$D95&gt;$B95))),1,0)</f>
        <v>0</v>
      </c>
      <c r="AD95">
        <f t="shared" si="123"/>
        <v>0</v>
      </c>
      <c r="AE95">
        <f>IF(AND(F95=0,OR(AND($A95=$AB92,$B95&lt;$D95),AND($E95=$AB92,$D95&lt;$B95))),1,0)</f>
        <v>0</v>
      </c>
      <c r="AF95">
        <f>IF(F95&gt;0,0,IF($A95=$AB92,$B95,IF($E95=$AB92,$D95,0)))</f>
        <v>0</v>
      </c>
      <c r="AG95">
        <f>IF(F95&gt;0,0,IF($A95=$AB92,$D95,IF($E95=$AB92,$B95,0)))</f>
        <v>0</v>
      </c>
      <c r="AH95">
        <f t="shared" si="124"/>
        <v>0</v>
      </c>
      <c r="AJ95" s="28" t="str">
        <f>N92</f>
        <v/>
      </c>
      <c r="AK95" s="28">
        <f t="shared" ref="AK95:AQ95" si="126">N100</f>
        <v>0</v>
      </c>
      <c r="AL95" s="28">
        <f t="shared" si="126"/>
        <v>0</v>
      </c>
      <c r="AM95" s="28">
        <f t="shared" si="126"/>
        <v>0</v>
      </c>
      <c r="AN95" s="28">
        <f t="shared" si="126"/>
        <v>0</v>
      </c>
      <c r="AO95" s="28">
        <f t="shared" si="126"/>
        <v>0</v>
      </c>
      <c r="AP95" s="28">
        <f t="shared" si="126"/>
        <v>0</v>
      </c>
      <c r="AQ95" s="28">
        <f t="shared" si="126"/>
        <v>0</v>
      </c>
      <c r="AS95" s="28" t="str">
        <f>IF($AQ95&lt;=$AQ94,$AJ95,$AJ94)</f>
        <v/>
      </c>
      <c r="AT95" s="28">
        <f>VLOOKUP(AS95,$AJ94:$AQ97,8,FALSE)</f>
        <v>0</v>
      </c>
      <c r="AU95" s="28" t="str">
        <f>IF($AT95&gt;=$AT97,$AS95,$AS97)</f>
        <v/>
      </c>
      <c r="AV95" s="28">
        <f>VLOOKUP(AU95,$AS94:$AT97,2,FALSE)</f>
        <v>0</v>
      </c>
      <c r="AW95" s="28" t="str">
        <f>IF($AV95&gt;=$AV96,$AU95,$AU96)</f>
        <v/>
      </c>
      <c r="AX95" s="28">
        <f>VLOOKUP(AW95,$AU94:$AV97,2,FALSE)</f>
        <v>0</v>
      </c>
      <c r="AY95" s="28">
        <f>VLOOKUP(AW95,$AJ94:$AQ97,6,FALSE)</f>
        <v>0</v>
      </c>
      <c r="AZ95" s="28">
        <f>VLOOKUP(AW95,$AJ94:$AQ97,7,FALSE)</f>
        <v>0</v>
      </c>
      <c r="BA95" s="28">
        <f>AY95-AZ95</f>
        <v>0</v>
      </c>
      <c r="BB95" s="28" t="str">
        <f>IF(AND($AX94=$AX95,$BA95&gt;$BA94),$AW94,$AW95)</f>
        <v/>
      </c>
      <c r="BC95" s="28">
        <f>VLOOKUP(BB95,$AW94:$BA97,2,FALSE)</f>
        <v>0</v>
      </c>
      <c r="BD95" s="28">
        <f>VLOOKUP(BB95,$AW94:$BA97,5,FALSE)</f>
        <v>0</v>
      </c>
      <c r="BE95" s="28" t="str">
        <f>IF(AND($BC95=$BC97,$BD97&gt;$BD95),$BB97,$BB95)</f>
        <v/>
      </c>
      <c r="BF95" s="28">
        <f>VLOOKUP(BE95,$BB94:$BD97,2,FALSE)</f>
        <v>0</v>
      </c>
      <c r="BG95" s="28">
        <f>VLOOKUP(BE95,$BB94:$BD97,3,FALSE)</f>
        <v>0</v>
      </c>
      <c r="BH95" s="28" t="str">
        <f>IF(AND($BF95=$BF96,$BG96&gt;$BG95),$BE96,$BE95)</f>
        <v/>
      </c>
      <c r="BI95" s="28">
        <f>VLOOKUP(BH95,$BE94:$BG97,2,FALSE)</f>
        <v>0</v>
      </c>
      <c r="BJ95" s="28">
        <f>VLOOKUP(BH95,$BE94:$BG97,3,FALSE)</f>
        <v>0</v>
      </c>
      <c r="BK95" s="28">
        <f>VLOOKUP(BH95,$AJ94:$AQ97,6,FALSE)</f>
        <v>0</v>
      </c>
      <c r="BL95" s="28" t="str">
        <f>IF(AND($BI94=$BI95,$BJ94=$BJ95,$BK95&gt;$BK94),$BH94,$BH95)</f>
        <v/>
      </c>
      <c r="BM95" s="28">
        <f>VLOOKUP(BL95,$BH94:$BK97,2,FALSE)</f>
        <v>0</v>
      </c>
      <c r="BN95" s="28">
        <f>VLOOKUP(BL95,$BH94:$BK97,3,FALSE)</f>
        <v>0</v>
      </c>
      <c r="BO95" s="28">
        <f>VLOOKUP(BL95,$BH94:$BK97,4,FALSE)</f>
        <v>0</v>
      </c>
      <c r="BP95" s="28" t="str">
        <f>IF(AND($BM95=$BM97,$BN95=$BN97,$BO97&gt;$BO95),$BL97,$BL95)</f>
        <v/>
      </c>
      <c r="BQ95" s="28">
        <f>VLOOKUP(BP95,$BL94:$BO97,2,FALSE)</f>
        <v>0</v>
      </c>
      <c r="BR95" s="28">
        <f>VLOOKUP(BP95,$BL94:$BO97,3,FALSE)</f>
        <v>0</v>
      </c>
      <c r="BS95" s="28">
        <f>VLOOKUP(BP95,$BL94:$BO97,4,FALSE)</f>
        <v>0</v>
      </c>
      <c r="BT95" s="28" t="str">
        <f>IF(AND($BQ95=$BQ96,$BR95=$BR96,$BS96&gt;$BS95),$BP96,$BP95)</f>
        <v/>
      </c>
      <c r="BU95" s="28">
        <f>VLOOKUP(BT95,$BP94:$BS97,2,FALSE)</f>
        <v>0</v>
      </c>
      <c r="BV95" s="28">
        <f>VLOOKUP(BT95,$BP94:$BS97,3,FALSE)</f>
        <v>0</v>
      </c>
      <c r="BW95" s="28">
        <f>VLOOKUP(BT95,$BP94:$BS97,4,FALSE)</f>
        <v>0</v>
      </c>
      <c r="BX95" s="28" t="str">
        <f>BT95</f>
        <v/>
      </c>
      <c r="BY95" s="28">
        <f>VLOOKUP($BX95,$AJ94:$AQ97,2,FALSE)</f>
        <v>0</v>
      </c>
      <c r="BZ95" s="28">
        <f>VLOOKUP($BX95,$AJ94:$AQ97,3,FALSE)</f>
        <v>0</v>
      </c>
      <c r="CA95" s="28">
        <f>VLOOKUP($BX95,$AJ94:$AQ97,4,FALSE)</f>
        <v>0</v>
      </c>
      <c r="CB95" s="28">
        <f>VLOOKUP($BX95,$AJ94:$AQ97,5,FALSE)</f>
        <v>0</v>
      </c>
      <c r="CC95" s="28">
        <f>VLOOKUP($BX95,$AJ94:$AQ97,6,FALSE)</f>
        <v>0</v>
      </c>
      <c r="CD95" s="28">
        <f>VLOOKUP($BX95,$AJ94:$AQ97,7,FALSE)</f>
        <v>0</v>
      </c>
      <c r="CE95" s="28">
        <f>VLOOKUP($BX95,$AJ94:$AQ97,8,FALSE)</f>
        <v>0</v>
      </c>
      <c r="CF95" s="128" t="str">
        <f>CONCATENATE(CC95,":",CD95)</f>
        <v>0:0</v>
      </c>
    </row>
    <row r="96" spans="1:84" x14ac:dyDescent="0.2">
      <c r="A96" s="27" t="str">
        <f>'1-zapasy'!B77</f>
        <v/>
      </c>
      <c r="B96" s="220" t="str">
        <f>'1-zapasy'!I77</f>
        <v/>
      </c>
      <c r="C96" s="220" t="e">
        <f>'3-zapasy'!#REF!</f>
        <v>#REF!</v>
      </c>
      <c r="D96" s="220" t="str">
        <f>'1-zapasy'!J77</f>
        <v/>
      </c>
      <c r="E96" s="27" t="str">
        <f>'1-zapasy'!C77</f>
        <v/>
      </c>
      <c r="F96" s="28">
        <f>COUNTBLANK('1-zapasy'!I77:'1-zapasy'!J77)</f>
        <v>2</v>
      </c>
      <c r="G96" s="28">
        <f>IF(AND(F96=0,OR($A96=$G92,$E96=$G92)),1,0)</f>
        <v>0</v>
      </c>
      <c r="H96" s="28">
        <f>IF(AND(F96=0,OR(AND($A96=$G92,$B96&gt;$D96),AND($E96=$G92,$D96&gt;$B96))),1,0)</f>
        <v>0</v>
      </c>
      <c r="I96" s="28">
        <f t="shared" si="117"/>
        <v>0</v>
      </c>
      <c r="J96" s="28">
        <f>IF(AND(F96=0,OR(AND($A96=$G92,$B96&lt;$D96),AND($E96=$G92,$D96&lt;$B96))),1,0)</f>
        <v>0</v>
      </c>
      <c r="K96" s="28">
        <f>IF(F96&gt;0,0,IF($A96=$G92,$B96,IF($E96=$G92,$D96,0)))</f>
        <v>0</v>
      </c>
      <c r="L96" s="28">
        <f>IF(F96&gt;0,0,IF($A96=$G92,$D96,IF($E96=$G92,$B96,0)))</f>
        <v>0</v>
      </c>
      <c r="M96">
        <f t="shared" si="118"/>
        <v>0</v>
      </c>
      <c r="N96">
        <f>IF(AND(F96=0,OR($A96=$N92,$E96=$N92)),1,0)</f>
        <v>0</v>
      </c>
      <c r="O96">
        <f>IF(AND(F96=0,OR(AND($A96=$N92,$B96&gt;$D96),AND($E96=$N92,$D96&gt;$B96))),1,0)</f>
        <v>0</v>
      </c>
      <c r="P96">
        <f t="shared" si="119"/>
        <v>0</v>
      </c>
      <c r="Q96">
        <f>IF(AND(F96=0,OR(AND($A96=$N92,$B96&lt;$D96),AND($E96=$N92,$D96&lt;$B96))),1,0)</f>
        <v>0</v>
      </c>
      <c r="R96">
        <f>IF(F96&gt;0,0,IF($A96=$N92,$B96,IF($E96=$N92,$D96,0)))</f>
        <v>0</v>
      </c>
      <c r="S96">
        <f>IF(F96&gt;0,0,IF($A96=$N92,$D96,IF($E96=$N92,$B96,0)))</f>
        <v>0</v>
      </c>
      <c r="T96">
        <f t="shared" si="120"/>
        <v>0</v>
      </c>
      <c r="U96">
        <f>IF(AND(F96=0,OR($A96=$U92,$E96=$U92)),1,0)</f>
        <v>0</v>
      </c>
      <c r="V96">
        <f>IF(AND(F96=0,OR(AND($A96=$U92,$B96&gt;$D96),AND($E96=$U92,$D96&gt;$B96))),1,0)</f>
        <v>0</v>
      </c>
      <c r="W96">
        <f t="shared" si="121"/>
        <v>0</v>
      </c>
      <c r="X96">
        <f>IF(AND(F96=0,OR(AND($A96=$U92,$B96&lt;$D96),AND($E96=$U92,$D96&lt;$B96))),1,0)</f>
        <v>0</v>
      </c>
      <c r="Y96">
        <f>IF(F96&gt;0,0,IF($A96=$U92,$B96,IF($E96=$U92,$D96,0)))</f>
        <v>0</v>
      </c>
      <c r="Z96">
        <f>IF(F96&gt;0,0,IF($A96=$U92,$D96,IF($E96=$U92,$B96,0)))</f>
        <v>0</v>
      </c>
      <c r="AA96">
        <f t="shared" si="122"/>
        <v>0</v>
      </c>
      <c r="AB96">
        <f>IF(AND(F96=0,OR($A96=$AB92,$E96=$AB92)),1,0)</f>
        <v>0</v>
      </c>
      <c r="AC96">
        <f>IF(AND(F96=0,OR(AND($A96=$AB92,$B96&gt;$D96),AND($E96=$AB92,$D96&gt;$B96))),1,0)</f>
        <v>0</v>
      </c>
      <c r="AD96">
        <f t="shared" si="123"/>
        <v>0</v>
      </c>
      <c r="AE96">
        <f>IF(AND(F96=0,OR(AND($A96=$AB92,$B96&lt;$D96),AND($E96=$AB92,$D96&lt;$B96))),1,0)</f>
        <v>0</v>
      </c>
      <c r="AF96">
        <f>IF(F96&gt;0,0,IF($A96=$AB92,$B96,IF($E96=$AB92,$D96,0)))</f>
        <v>0</v>
      </c>
      <c r="AG96">
        <f>IF(F96&gt;0,0,IF($A96=$AB92,$D96,IF($E96=$AB92,$B96,0)))</f>
        <v>0</v>
      </c>
      <c r="AH96">
        <f t="shared" si="124"/>
        <v>0</v>
      </c>
      <c r="AJ96" s="28" t="str">
        <f>U92</f>
        <v/>
      </c>
      <c r="AK96" s="28">
        <f t="shared" ref="AK96:AQ96" si="127">U100</f>
        <v>0</v>
      </c>
      <c r="AL96" s="28">
        <f t="shared" si="127"/>
        <v>0</v>
      </c>
      <c r="AM96" s="28">
        <f t="shared" si="127"/>
        <v>0</v>
      </c>
      <c r="AN96" s="28">
        <f t="shared" si="127"/>
        <v>0</v>
      </c>
      <c r="AO96" s="28">
        <f t="shared" si="127"/>
        <v>0</v>
      </c>
      <c r="AP96" s="28">
        <f t="shared" si="127"/>
        <v>0</v>
      </c>
      <c r="AQ96" s="28">
        <f t="shared" si="127"/>
        <v>0</v>
      </c>
      <c r="AS96" s="28" t="str">
        <f>IF($AQ96&gt;=$AQ97,$AJ96,$AJ97)</f>
        <v/>
      </c>
      <c r="AT96" s="28">
        <f>VLOOKUP(AS96,$AJ94:$AQ97,8,FALSE)</f>
        <v>0</v>
      </c>
      <c r="AU96" s="28" t="str">
        <f>IF($AT96&lt;=$AT94,$AS96,$AS94)</f>
        <v/>
      </c>
      <c r="AV96" s="28">
        <f>VLOOKUP(AU96,$AS94:$AT97,2,FALSE)</f>
        <v>0</v>
      </c>
      <c r="AW96" s="28" t="str">
        <f>IF($AV96&lt;=$AV95,$AU96,$AU95)</f>
        <v/>
      </c>
      <c r="AX96" s="28">
        <f>VLOOKUP(AW96,$AU94:$AV97,2,FALSE)</f>
        <v>0</v>
      </c>
      <c r="AY96" s="28">
        <f>VLOOKUP(AW96,$AJ94:$AQ97,6,FALSE)</f>
        <v>0</v>
      </c>
      <c r="AZ96" s="28">
        <f>VLOOKUP(AW96,$AJ94:$AQ97,7,FALSE)</f>
        <v>0</v>
      </c>
      <c r="BA96" s="28">
        <f>AY96-AZ96</f>
        <v>0</v>
      </c>
      <c r="BB96" s="28" t="str">
        <f>IF(AND($AX96=$AX97,$BA97&gt;$BA96),$AW97,$AW96)</f>
        <v/>
      </c>
      <c r="BC96" s="28">
        <f>VLOOKUP(BB96,$AW94:$BA97,2,FALSE)</f>
        <v>0</v>
      </c>
      <c r="BD96" s="28">
        <f>VLOOKUP(BB96,$AW94:$BA97,5,FALSE)</f>
        <v>0</v>
      </c>
      <c r="BE96" s="28" t="str">
        <f>IF(AND($BC94=$BC96,$BD96&gt;$BD94),$BB94,$BB96)</f>
        <v/>
      </c>
      <c r="BF96" s="28">
        <f>VLOOKUP(BE96,$BB94:$BD97,2,FALSE)</f>
        <v>0</v>
      </c>
      <c r="BG96" s="28">
        <f>VLOOKUP(BE96,$BB94:$BD97,3,FALSE)</f>
        <v>0</v>
      </c>
      <c r="BH96" s="28" t="str">
        <f>IF(AND($BF95=$BF96,$BG96&gt;$BG95),$BE95,$BE96)</f>
        <v/>
      </c>
      <c r="BI96" s="28">
        <f>VLOOKUP(BH96,$BE94:$BG97,2,FALSE)</f>
        <v>0</v>
      </c>
      <c r="BJ96" s="28">
        <f>VLOOKUP(BH96,$BE94:$BG97,3,FALSE)</f>
        <v>0</v>
      </c>
      <c r="BK96" s="28">
        <f>VLOOKUP(BH96,$AJ94:$AQ97,6,FALSE)</f>
        <v>0</v>
      </c>
      <c r="BL96" s="28" t="str">
        <f>IF(AND($BI96=$BI97,$BJ96=$BJ97,$BK97&gt;$BK96),$BH97,$BH96)</f>
        <v/>
      </c>
      <c r="BM96" s="28">
        <f>VLOOKUP(BL96,$BH94:$BK97,2,FALSE)</f>
        <v>0</v>
      </c>
      <c r="BN96" s="28">
        <f>VLOOKUP(BL96,$BH94:$BK97,3,FALSE)</f>
        <v>0</v>
      </c>
      <c r="BO96" s="28">
        <f>VLOOKUP(BL96,$BH94:$BK97,4,FALSE)</f>
        <v>0</v>
      </c>
      <c r="BP96" s="28" t="str">
        <f>IF(AND($BM94=$BM96,$BN94=$BN96,$BO96&gt;$BO94),$BL94,$BL96)</f>
        <v/>
      </c>
      <c r="BQ96" s="28">
        <f>VLOOKUP(BP96,$BL94:$BO97,2,FALSE)</f>
        <v>0</v>
      </c>
      <c r="BR96" s="28">
        <f>VLOOKUP(BP96,$BL94:$BO97,3,FALSE)</f>
        <v>0</v>
      </c>
      <c r="BS96" s="28">
        <f>VLOOKUP(BP96,$BL94:$BO97,4,FALSE)</f>
        <v>0</v>
      </c>
      <c r="BT96" s="28" t="str">
        <f>IF(AND($BQ95=$BQ96,$BR95=$BR96,$BS96&gt;$BS95),$BP95,$BP96)</f>
        <v/>
      </c>
      <c r="BU96" s="28">
        <f>VLOOKUP(BT96,$BP94:$BS97,2,FALSE)</f>
        <v>0</v>
      </c>
      <c r="BV96" s="28">
        <f>VLOOKUP(BT96,$BP94:$BS97,3,FALSE)</f>
        <v>0</v>
      </c>
      <c r="BW96" s="28">
        <f>VLOOKUP(BT96,$BP94:$BS97,4,FALSE)</f>
        <v>0</v>
      </c>
      <c r="BX96" s="28" t="str">
        <f>BT96</f>
        <v/>
      </c>
      <c r="BY96" s="28">
        <f>VLOOKUP($BX96,$AJ94:$AQ97,2,FALSE)</f>
        <v>0</v>
      </c>
      <c r="BZ96" s="28">
        <f>VLOOKUP($BX96,$AJ94:$AQ97,3,FALSE)</f>
        <v>0</v>
      </c>
      <c r="CA96" s="28">
        <f>VLOOKUP($BX96,$AJ94:$AQ97,4,FALSE)</f>
        <v>0</v>
      </c>
      <c r="CB96" s="28">
        <f>VLOOKUP($BX96,$AJ94:$AQ97,5,FALSE)</f>
        <v>0</v>
      </c>
      <c r="CC96" s="28">
        <f>VLOOKUP($BX96,$AJ94:$AQ97,6,FALSE)</f>
        <v>0</v>
      </c>
      <c r="CD96" s="28">
        <f>VLOOKUP($BX96,$AJ94:$AQ97,7,FALSE)</f>
        <v>0</v>
      </c>
      <c r="CE96" s="28">
        <f>VLOOKUP($BX96,$AJ94:$AQ97,8,FALSE)</f>
        <v>0</v>
      </c>
      <c r="CF96" s="128" t="str">
        <f>CONCATENATE(CC96,":",CD96)</f>
        <v>0:0</v>
      </c>
    </row>
    <row r="97" spans="1:84" x14ac:dyDescent="0.2">
      <c r="A97" s="27" t="str">
        <f>'1-zapasy'!B78</f>
        <v/>
      </c>
      <c r="B97" s="220" t="str">
        <f>'1-zapasy'!I78</f>
        <v/>
      </c>
      <c r="C97" s="220" t="e">
        <f>'3-zapasy'!#REF!</f>
        <v>#REF!</v>
      </c>
      <c r="D97" s="220" t="str">
        <f>'1-zapasy'!J78</f>
        <v/>
      </c>
      <c r="E97" s="27" t="str">
        <f>'1-zapasy'!C78</f>
        <v/>
      </c>
      <c r="F97" s="28">
        <f>COUNTBLANK('1-zapasy'!I78:'1-zapasy'!J78)</f>
        <v>2</v>
      </c>
      <c r="G97" s="28">
        <f>IF(AND(F97=0,OR($A97=$G92,$E97=$G92)),1,0)</f>
        <v>0</v>
      </c>
      <c r="H97" s="28">
        <f>IF(AND(F97=0,OR(AND($A97=$G92,$B97&gt;$D97),AND($E97=$G92,$D97&gt;$B97))),1,0)</f>
        <v>0</v>
      </c>
      <c r="I97" s="28">
        <f t="shared" si="117"/>
        <v>0</v>
      </c>
      <c r="J97" s="28">
        <f>IF(AND(F97=0,OR(AND($A97=$G92,$B97&lt;$D97),AND($E97=$G92,$D97&lt;$B97))),1,0)</f>
        <v>0</v>
      </c>
      <c r="K97" s="28">
        <f>IF(F97&gt;0,0,IF($A97=$G92,$B97,IF($E97=$G92,$D97,0)))</f>
        <v>0</v>
      </c>
      <c r="L97" s="28">
        <f>IF(F97&gt;0,0,IF($A97=$G92,$D97,IF($E97=$G92,$B97,0)))</f>
        <v>0</v>
      </c>
      <c r="M97">
        <f t="shared" si="118"/>
        <v>0</v>
      </c>
      <c r="N97">
        <f>IF(AND(F97=0,OR($A97=$N92,$E97=$N92)),1,0)</f>
        <v>0</v>
      </c>
      <c r="O97">
        <f>IF(AND(F97=0,OR(AND($A97=$N92,$B97&gt;$D97),AND($E97=$N92,$D97&gt;$B97))),1,0)</f>
        <v>0</v>
      </c>
      <c r="P97">
        <f t="shared" si="119"/>
        <v>0</v>
      </c>
      <c r="Q97">
        <f>IF(AND(F97=0,OR(AND($A97=$N92,$B97&lt;$D97),AND($E97=$N92,$D97&lt;$B97))),1,0)</f>
        <v>0</v>
      </c>
      <c r="R97">
        <f>IF(F97&gt;0,0,IF($A97=$N92,$B97,IF($E97=$N92,$D97,0)))</f>
        <v>0</v>
      </c>
      <c r="S97">
        <f>IF(F97&gt;0,0,IF($A97=$N92,$D97,IF($E97=$N92,$B97,0)))</f>
        <v>0</v>
      </c>
      <c r="T97">
        <f t="shared" si="120"/>
        <v>0</v>
      </c>
      <c r="U97">
        <f>IF(AND(F97=0,OR($A97=$U92,$E97=$U92)),1,0)</f>
        <v>0</v>
      </c>
      <c r="V97">
        <f>IF(AND(F97=0,OR(AND($A97=$U92,$B97&gt;$D97),AND($E97=$U92,$D97&gt;$B97))),1,0)</f>
        <v>0</v>
      </c>
      <c r="W97">
        <f t="shared" si="121"/>
        <v>0</v>
      </c>
      <c r="X97">
        <f>IF(AND(F97=0,OR(AND($A97=$U92,$B97&lt;$D97),AND($E97=$U92,$D97&lt;$B97))),1,0)</f>
        <v>0</v>
      </c>
      <c r="Y97">
        <f>IF(F97&gt;0,0,IF($A97=$U92,$B97,IF($E97=$U92,$D97,0)))</f>
        <v>0</v>
      </c>
      <c r="Z97">
        <f>IF(F97&gt;0,0,IF($A97=$U92,$D97,IF($E97=$U92,$B97,0)))</f>
        <v>0</v>
      </c>
      <c r="AA97">
        <f t="shared" si="122"/>
        <v>0</v>
      </c>
      <c r="AB97">
        <f>IF(AND(F97=0,OR($A97=$AB92,$E97=$AB92)),1,0)</f>
        <v>0</v>
      </c>
      <c r="AC97">
        <f>IF(AND(F97=0,OR(AND($A97=$AB92,$B97&gt;$D97),AND($E97=$AB92,$D97&gt;$B97))),1,0)</f>
        <v>0</v>
      </c>
      <c r="AD97">
        <f t="shared" si="123"/>
        <v>0</v>
      </c>
      <c r="AE97">
        <f>IF(AND(F97=0,OR(AND($A97=$AB92,$B97&lt;$D97),AND($E97=$AB92,$D97&lt;$B97))),1,0)</f>
        <v>0</v>
      </c>
      <c r="AF97">
        <f>IF(F97&gt;0,0,IF($A97=$AB92,$B97,IF($E97=$AB92,$D97,0)))</f>
        <v>0</v>
      </c>
      <c r="AG97">
        <f>IF(F97&gt;0,0,IF($A97=$AB92,$D97,IF($E97=$AB92,$B97,0)))</f>
        <v>0</v>
      </c>
      <c r="AH97">
        <f t="shared" si="124"/>
        <v>0</v>
      </c>
      <c r="AJ97" s="28" t="str">
        <f>AB92</f>
        <v/>
      </c>
      <c r="AK97" s="28">
        <f t="shared" ref="AK97:AQ97" si="128">AB100</f>
        <v>0</v>
      </c>
      <c r="AL97" s="28">
        <f t="shared" si="128"/>
        <v>0</v>
      </c>
      <c r="AM97" s="28">
        <f t="shared" si="128"/>
        <v>0</v>
      </c>
      <c r="AN97" s="28">
        <f t="shared" si="128"/>
        <v>0</v>
      </c>
      <c r="AO97" s="28">
        <f t="shared" si="128"/>
        <v>0</v>
      </c>
      <c r="AP97" s="28">
        <f t="shared" si="128"/>
        <v>0</v>
      </c>
      <c r="AQ97" s="28">
        <f t="shared" si="128"/>
        <v>0</v>
      </c>
      <c r="AS97" s="28" t="str">
        <f>IF($AQ97&lt;=$AQ96,$AJ97,$AJ96)</f>
        <v/>
      </c>
      <c r="AT97" s="28">
        <f>VLOOKUP(AS97,$AJ94:$AQ97,8,FALSE)</f>
        <v>0</v>
      </c>
      <c r="AU97" s="28" t="str">
        <f>IF($AT97&lt;=$AT95,$AS97,$AS95)</f>
        <v/>
      </c>
      <c r="AV97" s="28">
        <f>VLOOKUP(AU97,$AS94:$AT97,2,FALSE)</f>
        <v>0</v>
      </c>
      <c r="AW97" s="28" t="str">
        <f>IF($AV97&lt;=$AV94,$AU97,$AU94)</f>
        <v/>
      </c>
      <c r="AX97" s="28">
        <f>VLOOKUP(AW97,$AU94:$AV97,2,FALSE)</f>
        <v>0</v>
      </c>
      <c r="AY97" s="28">
        <f>VLOOKUP(AW97,$AJ94:$AQ97,6,FALSE)</f>
        <v>0</v>
      </c>
      <c r="AZ97" s="28">
        <f>VLOOKUP(AW97,$AJ94:$AQ97,7,FALSE)</f>
        <v>0</v>
      </c>
      <c r="BA97" s="28">
        <f>AY97-AZ97</f>
        <v>0</v>
      </c>
      <c r="BB97" s="28" t="str">
        <f>IF(AND($AX96=$AX97,$BA97&gt;$BA96),$AW96,$AW97)</f>
        <v/>
      </c>
      <c r="BC97" s="28">
        <f>VLOOKUP(BB97,$AW94:$BA97,2,FALSE)</f>
        <v>0</v>
      </c>
      <c r="BD97" s="28">
        <f>VLOOKUP(BB97,$AW94:$BA97,5,FALSE)</f>
        <v>0</v>
      </c>
      <c r="BE97" s="28" t="str">
        <f>IF(AND($BC95=$BC97,$BD97&gt;$BD95),$BB95,$BB97)</f>
        <v/>
      </c>
      <c r="BF97" s="28">
        <f>VLOOKUP(BE97,$BB94:$BD97,2,FALSE)</f>
        <v>0</v>
      </c>
      <c r="BG97" s="28">
        <f>VLOOKUP(BE97,$BB94:$BD97,3,FALSE)</f>
        <v>0</v>
      </c>
      <c r="BH97" s="28" t="str">
        <f>IF(AND($BF94=$BF97,$BG97&gt;$BG94),$BE94,$BE97)</f>
        <v/>
      </c>
      <c r="BI97" s="28">
        <f>VLOOKUP(BH97,$BE94:$BG97,2,FALSE)</f>
        <v>0</v>
      </c>
      <c r="BJ97" s="28">
        <f>VLOOKUP(BH97,$BE94:$BG97,3,FALSE)</f>
        <v>0</v>
      </c>
      <c r="BK97" s="28">
        <f>VLOOKUP(BH97,$AJ94:$AQ97,6,FALSE)</f>
        <v>0</v>
      </c>
      <c r="BL97" s="28" t="str">
        <f>IF(AND($BI96=$BI97,$BJ96=$BJ97,$BK97&gt;$BK96),$BH96,$BH97)</f>
        <v/>
      </c>
      <c r="BM97" s="28">
        <f>VLOOKUP(BL97,$BH94:$BK97,2,FALSE)</f>
        <v>0</v>
      </c>
      <c r="BN97" s="28">
        <f>VLOOKUP(BL97,$BH94:$BK97,3,FALSE)</f>
        <v>0</v>
      </c>
      <c r="BO97" s="28">
        <f>VLOOKUP(BL97,$BH94:$BK97,4,FALSE)</f>
        <v>0</v>
      </c>
      <c r="BP97" s="28" t="str">
        <f>IF(AND($BM95=$BM97,$BN95=$BN97,$BO97&gt;$BO95),$BL95,$BL97)</f>
        <v/>
      </c>
      <c r="BQ97" s="28">
        <f>VLOOKUP(BP97,$BL94:$BO97,2,FALSE)</f>
        <v>0</v>
      </c>
      <c r="BR97" s="28">
        <f>VLOOKUP(BP97,$BL94:$BO97,3,FALSE)</f>
        <v>0</v>
      </c>
      <c r="BS97" s="28">
        <f>VLOOKUP(BP97,$BL94:$BO97,4,FALSE)</f>
        <v>0</v>
      </c>
      <c r="BT97" s="28" t="str">
        <f>IF(AND($BQ94=$BQ97,$BR94=$BR97,$BS97&gt;$BS94),$BP94,$BP97)</f>
        <v/>
      </c>
      <c r="BU97" s="28">
        <f>VLOOKUP(BT97,$BP94:$BS97,2,FALSE)</f>
        <v>0</v>
      </c>
      <c r="BV97" s="28">
        <f>VLOOKUP(BT97,$BP94:$BS97,3,FALSE)</f>
        <v>0</v>
      </c>
      <c r="BW97" s="28">
        <f>VLOOKUP(BT97,$BP94:$BS97,4,FALSE)</f>
        <v>0</v>
      </c>
      <c r="BX97" s="28" t="str">
        <f>BT97</f>
        <v/>
      </c>
      <c r="BY97" s="28">
        <f>VLOOKUP($BX97,$AJ94:$AQ97,2,FALSE)</f>
        <v>0</v>
      </c>
      <c r="BZ97" s="28">
        <f>VLOOKUP($BX97,$AJ94:$AQ97,3,FALSE)</f>
        <v>0</v>
      </c>
      <c r="CA97" s="28">
        <f>VLOOKUP($BX97,$AJ94:$AQ97,4,FALSE)</f>
        <v>0</v>
      </c>
      <c r="CB97" s="28">
        <f>VLOOKUP($BX97,$AJ94:$AQ97,5,FALSE)</f>
        <v>0</v>
      </c>
      <c r="CC97" s="28">
        <f>VLOOKUP($BX97,$AJ94:$AQ97,6,FALSE)</f>
        <v>0</v>
      </c>
      <c r="CD97" s="28">
        <f>VLOOKUP($BX97,$AJ94:$AQ97,7,FALSE)</f>
        <v>0</v>
      </c>
      <c r="CE97" s="28">
        <f>VLOOKUP($BX97,$AJ94:$AQ97,8,FALSE)</f>
        <v>0</v>
      </c>
      <c r="CF97" s="128" t="str">
        <f>CONCATENATE(CC97,":",CD97)</f>
        <v>0:0</v>
      </c>
    </row>
    <row r="98" spans="1:84" x14ac:dyDescent="0.2">
      <c r="A98" s="27" t="str">
        <f>'1-zapasy'!B79</f>
        <v/>
      </c>
      <c r="B98" s="220" t="str">
        <f>'1-zapasy'!I79</f>
        <v/>
      </c>
      <c r="C98" s="220" t="e">
        <f>'3-zapasy'!#REF!</f>
        <v>#REF!</v>
      </c>
      <c r="D98" s="220" t="str">
        <f>'1-zapasy'!J79</f>
        <v/>
      </c>
      <c r="E98" s="27" t="str">
        <f>'1-zapasy'!C79</f>
        <v/>
      </c>
      <c r="F98" s="28">
        <f>COUNTBLANK('1-zapasy'!I79:'1-zapasy'!J79)</f>
        <v>2</v>
      </c>
      <c r="G98" s="28">
        <f>IF(AND(F98=0,OR($A98=$G92,$E98=$G92)),1,0)</f>
        <v>0</v>
      </c>
      <c r="H98" s="28">
        <f>IF(AND(F98=0,OR(AND($A98=$G92,$B98&gt;$D98),AND($E98=$G92,$D98&gt;$B98))),1,0)</f>
        <v>0</v>
      </c>
      <c r="I98" s="28">
        <f t="shared" si="117"/>
        <v>0</v>
      </c>
      <c r="J98" s="28">
        <f>IF(AND(F98=0,OR(AND($A98=$G92,$B98&lt;$D98),AND($E98=$G92,$D98&lt;$B98))),1,0)</f>
        <v>0</v>
      </c>
      <c r="K98" s="28">
        <f>IF(F98&gt;0,0,IF($A98=$G92,$B98,IF($E98=$G92,$D98,0)))</f>
        <v>0</v>
      </c>
      <c r="L98" s="28">
        <f>IF(F98&gt;0,0,IF($A98=$G92,$D98,IF($E98=$G92,$B98,0)))</f>
        <v>0</v>
      </c>
      <c r="M98">
        <f t="shared" si="118"/>
        <v>0</v>
      </c>
      <c r="N98">
        <f>IF(AND(F98=0,OR($A98=$N92,$E98=$N92)),1,0)</f>
        <v>0</v>
      </c>
      <c r="O98">
        <f>IF(AND(F98=0,OR(AND($A98=$N92,$B98&gt;$D98),AND($E98=$N92,$D98&gt;$B98))),1,0)</f>
        <v>0</v>
      </c>
      <c r="P98">
        <f t="shared" si="119"/>
        <v>0</v>
      </c>
      <c r="Q98">
        <f>IF(AND(F98=0,OR(AND($A98=$N92,$B98&lt;$D98),AND($E98=$N92,$D98&lt;$B98))),1,0)</f>
        <v>0</v>
      </c>
      <c r="R98">
        <f>IF(F98&gt;0,0,IF($A98=$N92,$B98,IF($E98=$N92,$D98,0)))</f>
        <v>0</v>
      </c>
      <c r="S98">
        <f>IF(F98&gt;0,0,IF($A98=$N92,$D98,IF($E98=$N92,$B98,0)))</f>
        <v>0</v>
      </c>
      <c r="T98">
        <f t="shared" si="120"/>
        <v>0</v>
      </c>
      <c r="U98">
        <f>IF(AND(F98=0,OR($A98=$U92,$E98=$U92)),1,0)</f>
        <v>0</v>
      </c>
      <c r="V98">
        <f>IF(AND(F98=0,OR(AND($A98=$U92,$B98&gt;$D98),AND($E98=$U92,$D98&gt;$B98))),1,0)</f>
        <v>0</v>
      </c>
      <c r="W98">
        <f t="shared" si="121"/>
        <v>0</v>
      </c>
      <c r="X98">
        <f>IF(AND(F98=0,OR(AND($A98=$U92,$B98&lt;$D98),AND($E98=$U92,$D98&lt;$B98))),1,0)</f>
        <v>0</v>
      </c>
      <c r="Y98">
        <f>IF(F98&gt;0,0,IF($A98=$U92,$B98,IF($E98=$U92,$D98,0)))</f>
        <v>0</v>
      </c>
      <c r="Z98">
        <f>IF(F98&gt;0,0,IF($A98=$U92,$D98,IF($E98=$U92,$B98,0)))</f>
        <v>0</v>
      </c>
      <c r="AA98">
        <f t="shared" si="122"/>
        <v>0</v>
      </c>
      <c r="AB98">
        <f>IF(AND(F98=0,OR($A98=$AB92,$E98=$AB92)),1,0)</f>
        <v>0</v>
      </c>
      <c r="AC98">
        <f>IF(AND(F98=0,OR(AND($A98=$AB92,$B98&gt;$D98),AND($E98=$AB92,$D98&gt;$B98))),1,0)</f>
        <v>0</v>
      </c>
      <c r="AD98">
        <f t="shared" si="123"/>
        <v>0</v>
      </c>
      <c r="AE98">
        <f>IF(AND(F98=0,OR(AND($A98=$AB92,$B98&lt;$D98),AND($E98=$AB92,$D98&lt;$B98))),1,0)</f>
        <v>0</v>
      </c>
      <c r="AF98">
        <f>IF(F98&gt;0,0,IF($A98=$AB92,$B98,IF($E98=$AB92,$D98,0)))</f>
        <v>0</v>
      </c>
      <c r="AG98">
        <f>IF(F98&gt;0,0,IF($A98=$AB92,$D98,IF($E98=$AB92,$B98,0)))</f>
        <v>0</v>
      </c>
      <c r="AH98">
        <f t="shared" si="124"/>
        <v>0</v>
      </c>
    </row>
    <row r="99" spans="1:84" x14ac:dyDescent="0.2">
      <c r="A99" s="27" t="str">
        <f>'1-zapasy'!B80</f>
        <v/>
      </c>
      <c r="B99" s="220" t="str">
        <f>'1-zapasy'!I80</f>
        <v/>
      </c>
      <c r="C99" s="220" t="e">
        <f>'3-zapasy'!#REF!</f>
        <v>#REF!</v>
      </c>
      <c r="D99" s="220" t="str">
        <f>'1-zapasy'!J80</f>
        <v/>
      </c>
      <c r="E99" s="27" t="str">
        <f>'1-zapasy'!C80</f>
        <v/>
      </c>
      <c r="F99" s="28">
        <f>COUNTBLANK('1-zapasy'!I80:'1-zapasy'!J80)</f>
        <v>2</v>
      </c>
      <c r="G99" s="28">
        <f>IF(AND(F99=0,OR($A99=$G92,$E99=$G92)),1,0)</f>
        <v>0</v>
      </c>
      <c r="H99" s="28">
        <f>IF(AND(F99=0,OR(AND($A99=$G92,$B99&gt;$D99),AND($E99=$G92,$D99&gt;$B99))),1,0)</f>
        <v>0</v>
      </c>
      <c r="I99" s="28">
        <f t="shared" si="117"/>
        <v>0</v>
      </c>
      <c r="J99" s="28">
        <f>IF(AND(F99=0,OR(AND($A99=$G92,$B99&lt;$D99),AND($E99=$G92,$D99&lt;$B99))),1,0)</f>
        <v>0</v>
      </c>
      <c r="K99" s="28">
        <f>IF(F99&gt;0,0,IF($A99=$G92,$B99,IF($E99=$G92,$D99,0)))</f>
        <v>0</v>
      </c>
      <c r="L99" s="28">
        <f>IF(F99&gt;0,0,IF($A99=$G92,$D99,IF($E99=$G92,$B99,0)))</f>
        <v>0</v>
      </c>
      <c r="M99">
        <f t="shared" si="118"/>
        <v>0</v>
      </c>
      <c r="N99">
        <f>IF(AND(F99=0,OR($A99=$N92,$E99=$N92)),1,0)</f>
        <v>0</v>
      </c>
      <c r="O99">
        <f>IF(AND(F99=0,OR(AND($A99=$N92,$B99&gt;$D99),AND($E99=$N92,$D99&gt;$B99))),1,0)</f>
        <v>0</v>
      </c>
      <c r="P99">
        <f t="shared" si="119"/>
        <v>0</v>
      </c>
      <c r="Q99">
        <f>IF(AND(F99=0,OR(AND($A99=$N92,$B99&lt;$D99),AND($E99=$N92,$D99&lt;$B99))),1,0)</f>
        <v>0</v>
      </c>
      <c r="R99">
        <f>IF(F99&gt;0,0,IF($A99=$N92,$B99,IF($E99=$N92,$D99,0)))</f>
        <v>0</v>
      </c>
      <c r="S99">
        <f>IF(F99&gt;0,0,IF($A99=$N92,$D99,IF($E99=$N92,$B99,0)))</f>
        <v>0</v>
      </c>
      <c r="T99">
        <f t="shared" si="120"/>
        <v>0</v>
      </c>
      <c r="U99">
        <f>IF(AND(F99=0,OR($A99=$U92,$E99=$U92)),1,0)</f>
        <v>0</v>
      </c>
      <c r="V99">
        <f>IF(AND(F99=0,OR(AND($A99=$U92,$B99&gt;$D99),AND($E99=$U92,$D99&gt;$B99))),1,0)</f>
        <v>0</v>
      </c>
      <c r="W99">
        <f t="shared" si="121"/>
        <v>0</v>
      </c>
      <c r="X99">
        <f>IF(AND(F99=0,OR(AND($A99=$U92,$B99&lt;$D99),AND($E99=$U92,$D99&lt;$B99))),1,0)</f>
        <v>0</v>
      </c>
      <c r="Y99">
        <f>IF(F99&gt;0,0,IF($A99=$U92,$B99,IF($E99=$U92,$D99,0)))</f>
        <v>0</v>
      </c>
      <c r="Z99">
        <f>IF(F99&gt;0,0,IF($A99=$U92,$D99,IF($E99=$U92,$B99,0)))</f>
        <v>0</v>
      </c>
      <c r="AA99">
        <f t="shared" si="122"/>
        <v>0</v>
      </c>
      <c r="AB99">
        <f>IF(AND(F99=0,OR($A99=$AB92,$E99=$AB92)),1,0)</f>
        <v>0</v>
      </c>
      <c r="AC99">
        <f>IF(AND(F99=0,OR(AND($A99=$AB92,$B99&gt;$D99),AND($E99=$AB92,$D99&gt;$B99))),1,0)</f>
        <v>0</v>
      </c>
      <c r="AD99">
        <f t="shared" si="123"/>
        <v>0</v>
      </c>
      <c r="AE99">
        <f>IF(AND(F99=0,OR(AND($A99=$AB92,$B99&lt;$D99),AND($E99=$AB92,$D99&lt;$B99))),1,0)</f>
        <v>0</v>
      </c>
      <c r="AF99">
        <f>IF(F99&gt;0,0,IF($A99=$AB92,$B99,IF($E99=$AB92,$D99,0)))</f>
        <v>0</v>
      </c>
      <c r="AG99">
        <f>IF(F99&gt;0,0,IF($A99=$AB92,$D99,IF($E99=$AB92,$B99,0)))</f>
        <v>0</v>
      </c>
      <c r="AH99">
        <f t="shared" si="124"/>
        <v>0</v>
      </c>
    </row>
    <row r="100" spans="1:84" x14ac:dyDescent="0.2">
      <c r="G100" s="28">
        <f t="shared" ref="G100:AH100" si="129">SUM(G94:G99)</f>
        <v>0</v>
      </c>
      <c r="H100" s="28">
        <f t="shared" si="129"/>
        <v>0</v>
      </c>
      <c r="I100" s="28">
        <f t="shared" si="129"/>
        <v>0</v>
      </c>
      <c r="J100" s="28">
        <f t="shared" si="129"/>
        <v>0</v>
      </c>
      <c r="K100" s="28">
        <f t="shared" si="129"/>
        <v>0</v>
      </c>
      <c r="L100" s="28">
        <f t="shared" si="129"/>
        <v>0</v>
      </c>
      <c r="M100">
        <f t="shared" si="129"/>
        <v>0</v>
      </c>
      <c r="N100">
        <f t="shared" si="129"/>
        <v>0</v>
      </c>
      <c r="O100">
        <f t="shared" si="129"/>
        <v>0</v>
      </c>
      <c r="P100">
        <f t="shared" si="129"/>
        <v>0</v>
      </c>
      <c r="Q100">
        <f t="shared" si="129"/>
        <v>0</v>
      </c>
      <c r="R100">
        <f t="shared" si="129"/>
        <v>0</v>
      </c>
      <c r="S100">
        <f t="shared" si="129"/>
        <v>0</v>
      </c>
      <c r="T100">
        <f t="shared" si="129"/>
        <v>0</v>
      </c>
      <c r="U100">
        <f t="shared" si="129"/>
        <v>0</v>
      </c>
      <c r="V100">
        <f t="shared" si="129"/>
        <v>0</v>
      </c>
      <c r="W100">
        <f t="shared" si="129"/>
        <v>0</v>
      </c>
      <c r="X100">
        <f t="shared" si="129"/>
        <v>0</v>
      </c>
      <c r="Y100">
        <f t="shared" si="129"/>
        <v>0</v>
      </c>
      <c r="Z100">
        <f t="shared" si="129"/>
        <v>0</v>
      </c>
      <c r="AA100">
        <f t="shared" si="129"/>
        <v>0</v>
      </c>
      <c r="AB100">
        <f t="shared" si="129"/>
        <v>0</v>
      </c>
      <c r="AC100">
        <f t="shared" si="129"/>
        <v>0</v>
      </c>
      <c r="AD100">
        <f t="shared" si="129"/>
        <v>0</v>
      </c>
      <c r="AE100">
        <f t="shared" si="129"/>
        <v>0</v>
      </c>
      <c r="AF100">
        <f t="shared" si="129"/>
        <v>0</v>
      </c>
      <c r="AG100">
        <f t="shared" si="129"/>
        <v>0</v>
      </c>
      <c r="AH100">
        <f t="shared" si="129"/>
        <v>0</v>
      </c>
    </row>
    <row r="102" spans="1:84" x14ac:dyDescent="0.2">
      <c r="A102" s="463" t="str">
        <f>'1-zapasy'!A81</f>
        <v>skupina B5</v>
      </c>
      <c r="B102" s="464"/>
      <c r="C102" s="464"/>
      <c r="D102" s="464"/>
      <c r="E102" s="464"/>
      <c r="F102" s="28" t="s">
        <v>67</v>
      </c>
      <c r="G102" s="465" t="str">
        <f>A104</f>
        <v/>
      </c>
      <c r="H102" s="465"/>
      <c r="I102" s="465"/>
      <c r="J102" s="465"/>
      <c r="K102" s="465"/>
      <c r="L102" s="465"/>
      <c r="M102" s="465"/>
      <c r="N102" s="465" t="str">
        <f>E104</f>
        <v/>
      </c>
      <c r="O102" s="465"/>
      <c r="P102" s="465"/>
      <c r="Q102" s="465"/>
      <c r="R102" s="465"/>
      <c r="S102" s="465"/>
      <c r="T102" s="465"/>
      <c r="U102" s="465" t="str">
        <f>A105</f>
        <v/>
      </c>
      <c r="V102" s="465"/>
      <c r="W102" s="465"/>
      <c r="X102" s="465"/>
      <c r="Y102" s="465"/>
      <c r="Z102" s="465"/>
      <c r="AA102" s="465"/>
      <c r="AB102" s="465" t="str">
        <f>E105</f>
        <v/>
      </c>
      <c r="AC102" s="465"/>
      <c r="AD102" s="465"/>
      <c r="AE102" s="465"/>
      <c r="AF102" s="465"/>
      <c r="AG102" s="465"/>
      <c r="AH102" s="465"/>
      <c r="AJ102" s="465" t="s">
        <v>68</v>
      </c>
      <c r="AK102" s="465"/>
      <c r="AL102" s="465"/>
      <c r="AM102" s="465"/>
      <c r="AN102" s="465"/>
      <c r="AO102" s="465"/>
      <c r="AP102" s="465"/>
      <c r="AQ102" s="465"/>
      <c r="BX102" s="28" t="s">
        <v>69</v>
      </c>
    </row>
    <row r="103" spans="1:84" x14ac:dyDescent="0.2">
      <c r="A103" s="464"/>
      <c r="B103" s="464"/>
      <c r="C103" s="464"/>
      <c r="D103" s="464"/>
      <c r="E103" s="464"/>
      <c r="F103" s="28" t="s">
        <v>70</v>
      </c>
      <c r="G103" s="28" t="s">
        <v>71</v>
      </c>
      <c r="H103" s="28" t="s">
        <v>72</v>
      </c>
      <c r="I103" s="28" t="s">
        <v>73</v>
      </c>
      <c r="J103" s="28" t="s">
        <v>74</v>
      </c>
      <c r="K103" s="28" t="s">
        <v>75</v>
      </c>
      <c r="L103" s="28" t="s">
        <v>76</v>
      </c>
      <c r="M103" s="28" t="s">
        <v>77</v>
      </c>
      <c r="N103" s="28" t="s">
        <v>71</v>
      </c>
      <c r="O103" s="28" t="s">
        <v>72</v>
      </c>
      <c r="P103" s="28" t="s">
        <v>73</v>
      </c>
      <c r="Q103" s="28" t="s">
        <v>74</v>
      </c>
      <c r="R103" s="28" t="s">
        <v>75</v>
      </c>
      <c r="S103" s="28" t="s">
        <v>76</v>
      </c>
      <c r="T103" s="28" t="s">
        <v>77</v>
      </c>
      <c r="U103" s="28" t="s">
        <v>71</v>
      </c>
      <c r="V103" s="28" t="s">
        <v>72</v>
      </c>
      <c r="W103" s="28" t="s">
        <v>73</v>
      </c>
      <c r="X103" s="28" t="s">
        <v>74</v>
      </c>
      <c r="Y103" s="28" t="s">
        <v>75</v>
      </c>
      <c r="Z103" s="28" t="s">
        <v>76</v>
      </c>
      <c r="AA103" s="28" t="s">
        <v>77</v>
      </c>
      <c r="AB103" s="28" t="s">
        <v>71</v>
      </c>
      <c r="AC103" s="28" t="s">
        <v>72</v>
      </c>
      <c r="AD103" s="28" t="s">
        <v>73</v>
      </c>
      <c r="AE103" s="28" t="s">
        <v>74</v>
      </c>
      <c r="AF103" s="28" t="s">
        <v>75</v>
      </c>
      <c r="AG103" s="28" t="s">
        <v>76</v>
      </c>
      <c r="AH103" s="28" t="s">
        <v>77</v>
      </c>
      <c r="AK103" s="28" t="s">
        <v>71</v>
      </c>
      <c r="AL103" s="28" t="s">
        <v>72</v>
      </c>
      <c r="AM103" s="28" t="s">
        <v>73</v>
      </c>
      <c r="AN103" s="28" t="s">
        <v>74</v>
      </c>
      <c r="AO103" s="28" t="s">
        <v>75</v>
      </c>
      <c r="AP103" s="28" t="s">
        <v>76</v>
      </c>
      <c r="AQ103" s="28" t="s">
        <v>77</v>
      </c>
      <c r="AS103" s="28" t="s">
        <v>78</v>
      </c>
      <c r="AU103" s="28" t="s">
        <v>79</v>
      </c>
      <c r="AW103" s="28" t="s">
        <v>80</v>
      </c>
      <c r="AY103" s="28" t="s">
        <v>81</v>
      </c>
      <c r="BB103" s="28" t="s">
        <v>82</v>
      </c>
      <c r="BE103" s="28" t="s">
        <v>83</v>
      </c>
      <c r="BH103" s="28" t="s">
        <v>84</v>
      </c>
      <c r="BK103" s="28" t="s">
        <v>85</v>
      </c>
      <c r="BL103" s="28" t="s">
        <v>86</v>
      </c>
      <c r="BP103" s="28" t="s">
        <v>87</v>
      </c>
      <c r="BT103" s="28" t="s">
        <v>88</v>
      </c>
      <c r="BY103" s="28" t="s">
        <v>65</v>
      </c>
      <c r="BZ103" s="28" t="s">
        <v>89</v>
      </c>
      <c r="CA103" s="28" t="s">
        <v>58</v>
      </c>
      <c r="CB103" s="28" t="s">
        <v>90</v>
      </c>
      <c r="CC103" s="28" t="s">
        <v>51</v>
      </c>
      <c r="CD103" s="28" t="s">
        <v>53</v>
      </c>
      <c r="CE103" s="28" t="s">
        <v>91</v>
      </c>
    </row>
    <row r="104" spans="1:84" x14ac:dyDescent="0.2">
      <c r="A104" s="27" t="str">
        <f>'1-zapasy'!B83</f>
        <v/>
      </c>
      <c r="B104" s="220" t="str">
        <f>'1-zapasy'!I83</f>
        <v/>
      </c>
      <c r="C104" s="220" t="e">
        <f>'3-zapasy'!#REF!</f>
        <v>#REF!</v>
      </c>
      <c r="D104" s="220" t="str">
        <f>'1-zapasy'!J83</f>
        <v/>
      </c>
      <c r="E104" s="27" t="str">
        <f>'1-zapasy'!C83</f>
        <v/>
      </c>
      <c r="F104" s="28">
        <f>COUNTBLANK('1-zapasy'!I83:'1-zapasy'!J83)</f>
        <v>2</v>
      </c>
      <c r="G104" s="28">
        <f>IF(AND(F104=0,OR($A104=$G102,$E104=$G102)),1,0)</f>
        <v>0</v>
      </c>
      <c r="H104" s="28">
        <f>IF(AND(F104=0,OR(AND($A104=$G102,$B104&gt;$D104),AND($E104=$G102,$D104&gt;$B104))),1,0)</f>
        <v>0</v>
      </c>
      <c r="I104" s="28">
        <f t="shared" ref="I104:I109" si="130">IF(AND(F104=0,G104=1,$B104=$D104),1,0)</f>
        <v>0</v>
      </c>
      <c r="J104" s="28">
        <f>IF(AND(F104=0,OR(AND($A104=$G102,$B104&lt;$D104),AND($E104=$G102,$D104&lt;$B104))),1,0)</f>
        <v>0</v>
      </c>
      <c r="K104" s="28">
        <f>IF(F104&gt;0,0,IF($A104=$G102,$B104,IF($E104=$G102,$D104,0)))</f>
        <v>0</v>
      </c>
      <c r="L104" s="28">
        <f>IF(F104&gt;0,0,IF($A104=$G102,$D104,IF($E104=$G102,$B104,0)))</f>
        <v>0</v>
      </c>
      <c r="M104">
        <f t="shared" ref="M104:M109" si="131">(($H104*$B$10)+$I104)</f>
        <v>0</v>
      </c>
      <c r="N104">
        <f>IF(AND(F104=0,OR($A104=$N102,$E104=$N102)),1,0)</f>
        <v>0</v>
      </c>
      <c r="O104">
        <f>IF(AND(F104=0,OR(AND($A104=$N102,$B104&gt;$D104),AND($E104=$N102,$D104&gt;$B104))),1,0)</f>
        <v>0</v>
      </c>
      <c r="P104">
        <f t="shared" ref="P104:P109" si="132">IF(AND(F104=0,N104=1,$B104=$D104),1,0)</f>
        <v>0</v>
      </c>
      <c r="Q104">
        <f>IF(AND(F104=0,OR(AND($A104=$N102,$B104&lt;$D104),AND($E104=$N102,$D104&lt;$B104))),1,0)</f>
        <v>0</v>
      </c>
      <c r="R104">
        <f>IF(F104&gt;0,0,IF($A104=$N102,$B104,IF($E104=$N102,$D104,0)))</f>
        <v>0</v>
      </c>
      <c r="S104">
        <f>IF(F104&gt;0,0,IF($A104=$N102,$D104,IF($E104=$N102,$B104,0)))</f>
        <v>0</v>
      </c>
      <c r="T104">
        <f t="shared" ref="T104:T109" si="133">(($O104*$B$10)+$P104)</f>
        <v>0</v>
      </c>
      <c r="U104">
        <f>IF(AND(F104=0,OR($A104=$U102,$E104=$U102)),1,0)</f>
        <v>0</v>
      </c>
      <c r="V104">
        <f>IF(AND(F104=0,OR(AND($A104=$U102,$B104&gt;$D104),AND($E104=$U102,$D104&gt;$B104))),1,0)</f>
        <v>0</v>
      </c>
      <c r="W104">
        <f t="shared" ref="W104:W109" si="134">IF(AND(F104=0,U104=1,$B104=$D104),1,0)</f>
        <v>0</v>
      </c>
      <c r="X104">
        <f>IF(AND(F104=0,OR(AND($A104=$U102,$B104&lt;$D104),AND($E104=$U102,$D104&lt;$B104))),1,0)</f>
        <v>0</v>
      </c>
      <c r="Y104">
        <f>IF(F104&gt;0,0,IF($A104=$U102,$B104,IF($E104=$U102,$D104,0)))</f>
        <v>0</v>
      </c>
      <c r="Z104">
        <f>IF(F104&gt;0,0,IF($A104=$U102,$D104,IF($E104=$U102,$B104,0)))</f>
        <v>0</v>
      </c>
      <c r="AA104">
        <f t="shared" ref="AA104:AA109" si="135">(($V104*$B$10)+$W104)</f>
        <v>0</v>
      </c>
      <c r="AB104">
        <f>IF(AND(F104=0,OR($A104=$AB102,$E104=$AB102)),1,0)</f>
        <v>0</v>
      </c>
      <c r="AC104">
        <f>IF(AND(F104=0,OR(AND($A104=$AB102,$B104&gt;$D104),AND($E104=$AB102,$D104&gt;$B104))),1,0)</f>
        <v>0</v>
      </c>
      <c r="AD104">
        <f t="shared" ref="AD104:AD109" si="136">IF(AND(F104=0,AB104=1,$B104=$D104),1,0)</f>
        <v>0</v>
      </c>
      <c r="AE104">
        <f>IF(AND(F104=0,OR(AND($A104=$AB102,$B104&lt;$D104),AND($E104=$AB102,$D104&lt;$B104))),1,0)</f>
        <v>0</v>
      </c>
      <c r="AF104">
        <f>IF(F104&gt;0,0,IF($A104=$AB102,$B104,IF($E104=$AB102,$D104,0)))</f>
        <v>0</v>
      </c>
      <c r="AG104">
        <f>IF(F104&gt;0,0,IF($A104=$AB102,$D104,IF($E104=$AB102,$B104,0)))</f>
        <v>0</v>
      </c>
      <c r="AH104">
        <f t="shared" ref="AH104:AH109" si="137">(($AC104*$B$10)+$AD104)</f>
        <v>0</v>
      </c>
      <c r="AJ104" s="28" t="str">
        <f>G102</f>
        <v/>
      </c>
      <c r="AK104" s="28">
        <f t="shared" ref="AK104:AQ104" si="138">G110</f>
        <v>0</v>
      </c>
      <c r="AL104" s="28">
        <f t="shared" si="138"/>
        <v>0</v>
      </c>
      <c r="AM104" s="28">
        <f t="shared" si="138"/>
        <v>0</v>
      </c>
      <c r="AN104" s="28">
        <f t="shared" si="138"/>
        <v>0</v>
      </c>
      <c r="AO104" s="28">
        <f t="shared" si="138"/>
        <v>0</v>
      </c>
      <c r="AP104" s="28">
        <f t="shared" si="138"/>
        <v>0</v>
      </c>
      <c r="AQ104" s="28">
        <f t="shared" si="138"/>
        <v>0</v>
      </c>
      <c r="AS104" s="28" t="str">
        <f>IF($AQ104&gt;=$AQ105,$AJ104,$AJ105)</f>
        <v/>
      </c>
      <c r="AT104" s="28">
        <f>VLOOKUP(AS104,$AJ104:$AQ107,8,FALSE)</f>
        <v>0</v>
      </c>
      <c r="AU104" s="28" t="str">
        <f>IF($AT104&gt;=$AT106,$AS104,$AS106)</f>
        <v/>
      </c>
      <c r="AV104" s="28">
        <f>VLOOKUP(AU104,$AS104:$AT107,2,FALSE)</f>
        <v>0</v>
      </c>
      <c r="AW104" s="28" t="str">
        <f>IF($AV104&gt;=$AV107,$AU104,$AU107)</f>
        <v/>
      </c>
      <c r="AX104" s="28">
        <f>VLOOKUP(AW104,$AU104:$AV107,2,FALSE)</f>
        <v>0</v>
      </c>
      <c r="AY104" s="28">
        <f>VLOOKUP(AW104,$AJ104:$AQ107,6,FALSE)</f>
        <v>0</v>
      </c>
      <c r="AZ104" s="28">
        <f>VLOOKUP(AW104,$AJ104:$AQ107,7,FALSE)</f>
        <v>0</v>
      </c>
      <c r="BA104" s="28">
        <f>AY104-AZ104</f>
        <v>0</v>
      </c>
      <c r="BB104" s="28" t="str">
        <f>IF(AND($AX104=$AX105,$BA105&gt;$BA104),$AW105,$AW104)</f>
        <v/>
      </c>
      <c r="BC104" s="28">
        <f>VLOOKUP(BB104,$AW104:$BA107,2,FALSE)</f>
        <v>0</v>
      </c>
      <c r="BD104" s="28">
        <f>VLOOKUP(BB104,$AW104:$BA107,5,FALSE)</f>
        <v>0</v>
      </c>
      <c r="BE104" s="28" t="str">
        <f>IF(AND($BC104=$BC106,$BD106&gt;$BD104),$BB106,$BB104)</f>
        <v/>
      </c>
      <c r="BF104" s="28">
        <f>VLOOKUP(BE104,$BB104:$BD107,2,FALSE)</f>
        <v>0</v>
      </c>
      <c r="BG104" s="28">
        <f>VLOOKUP(BE104,$BB104:$BD107,3,FALSE)</f>
        <v>0</v>
      </c>
      <c r="BH104" s="28" t="str">
        <f>IF(AND($BF104=$BF107,$BG107&gt;$BG104),$BE107,$BE104)</f>
        <v/>
      </c>
      <c r="BI104" s="28">
        <f>VLOOKUP(BH104,$BE104:$BG107,2,FALSE)</f>
        <v>0</v>
      </c>
      <c r="BJ104" s="28">
        <f>VLOOKUP(BH104,$BE104:$BG107,3,FALSE)</f>
        <v>0</v>
      </c>
      <c r="BK104" s="28">
        <f>VLOOKUP(BH104,$AJ104:$AQ107,6,FALSE)</f>
        <v>0</v>
      </c>
      <c r="BL104" s="28" t="str">
        <f>IF(AND($BI104=$BI105,$BJ104=$BJ105,$BK105&gt;$BK104),$BH105,$BH104)</f>
        <v/>
      </c>
      <c r="BM104" s="28">
        <f>VLOOKUP(BL104,$BH104:$BK107,2,FALSE)</f>
        <v>0</v>
      </c>
      <c r="BN104" s="28">
        <f>VLOOKUP(BL104,$BH104:$BK107,3,FALSE)</f>
        <v>0</v>
      </c>
      <c r="BO104" s="28">
        <f>VLOOKUP(BL104,$BH104:$BK107,4,FALSE)</f>
        <v>0</v>
      </c>
      <c r="BP104" s="28" t="str">
        <f>IF(AND($BM104=$BM106,$BN104=$BN106,$BO106&gt;$BO104),$BL106,$BL104)</f>
        <v/>
      </c>
      <c r="BQ104" s="28">
        <f>VLOOKUP(BP104,$BL104:$BO107,2,FALSE)</f>
        <v>0</v>
      </c>
      <c r="BR104" s="28">
        <f>VLOOKUP(BP104,$BL104:$BO107,3,FALSE)</f>
        <v>0</v>
      </c>
      <c r="BS104" s="28">
        <f>VLOOKUP(BP104,$BL104:$BO107,4,FALSE)</f>
        <v>0</v>
      </c>
      <c r="BT104" s="28" t="str">
        <f>IF(AND($BQ104=$BQ107,$BR104=$BR107,$BS107&gt;$BS104),$BP107,$BP104)</f>
        <v/>
      </c>
      <c r="BU104" s="28">
        <f>VLOOKUP(BT104,$BP104:$BS107,2,FALSE)</f>
        <v>0</v>
      </c>
      <c r="BV104" s="28">
        <f>VLOOKUP(BT104,$BP104:$BS107,3,FALSE)</f>
        <v>0</v>
      </c>
      <c r="BW104" s="28">
        <f>VLOOKUP(BT104,$BP104:$BS107,4,FALSE)</f>
        <v>0</v>
      </c>
      <c r="BX104" s="28" t="str">
        <f>BT104</f>
        <v/>
      </c>
      <c r="BY104" s="28">
        <f>VLOOKUP($BX104,$AJ104:$AQ107,2,FALSE)</f>
        <v>0</v>
      </c>
      <c r="BZ104" s="28">
        <f>VLOOKUP($BX104,$AJ104:$AQ107,3,FALSE)</f>
        <v>0</v>
      </c>
      <c r="CA104" s="28">
        <f>VLOOKUP($BX104,$AJ104:$AQ107,4,FALSE)</f>
        <v>0</v>
      </c>
      <c r="CB104" s="28">
        <f>VLOOKUP($BX104,$AJ104:$AQ107,5,FALSE)</f>
        <v>0</v>
      </c>
      <c r="CC104" s="28">
        <f>VLOOKUP($BX104,$AJ104:$AQ107,6,FALSE)</f>
        <v>0</v>
      </c>
      <c r="CD104" s="28">
        <f>VLOOKUP($BX104,$AJ104:$AQ107,7,FALSE)</f>
        <v>0</v>
      </c>
      <c r="CE104" s="28">
        <f>VLOOKUP($BX104,$AJ104:$AQ107,8,FALSE)</f>
        <v>0</v>
      </c>
      <c r="CF104" s="128" t="str">
        <f>CONCATENATE(CC104,":",CD104)</f>
        <v>0:0</v>
      </c>
    </row>
    <row r="105" spans="1:84" x14ac:dyDescent="0.2">
      <c r="A105" s="27" t="str">
        <f>'1-zapasy'!B84</f>
        <v/>
      </c>
      <c r="B105" s="220" t="str">
        <f>'1-zapasy'!I84</f>
        <v/>
      </c>
      <c r="C105" s="220" t="e">
        <f>'3-zapasy'!#REF!</f>
        <v>#REF!</v>
      </c>
      <c r="D105" s="220" t="str">
        <f>'1-zapasy'!J84</f>
        <v/>
      </c>
      <c r="E105" s="27" t="str">
        <f>'1-zapasy'!C84</f>
        <v/>
      </c>
      <c r="F105" s="28">
        <f>COUNTBLANK('1-zapasy'!I84:'1-zapasy'!J84)</f>
        <v>2</v>
      </c>
      <c r="G105" s="28">
        <f>IF(AND(F105=0,OR($A105=$G102,$E105=$G102)),1,0)</f>
        <v>0</v>
      </c>
      <c r="H105" s="28">
        <f>IF(AND(F105=0,OR(AND($A105=$G102,$B105&gt;$D105),AND($E105=$G102,$D105&gt;$B105))),1,0)</f>
        <v>0</v>
      </c>
      <c r="I105" s="28">
        <f t="shared" si="130"/>
        <v>0</v>
      </c>
      <c r="J105" s="28">
        <f>IF(AND(F105=0,OR(AND($A105=$G102,$B105&lt;$D105),AND($E105=$G102,$D105&lt;$B105))),1,0)</f>
        <v>0</v>
      </c>
      <c r="K105" s="28">
        <f>IF(F105&gt;0,0,IF($A105=$G102,$B105,IF($E105=$G102,$D105,0)))</f>
        <v>0</v>
      </c>
      <c r="L105" s="28">
        <f>IF(F105&gt;0,0,IF($A105=$G102,$D105,IF($E105=$G102,$B105,0)))</f>
        <v>0</v>
      </c>
      <c r="M105">
        <f t="shared" si="131"/>
        <v>0</v>
      </c>
      <c r="N105">
        <f>IF(AND(F105=0,OR($A105=$N102,$E105=$N102)),1,0)</f>
        <v>0</v>
      </c>
      <c r="O105">
        <f>IF(AND(F105=0,OR(AND($A105=$N102,$B105&gt;$D105),AND($E105=$N102,$D105&gt;$B105))),1,0)</f>
        <v>0</v>
      </c>
      <c r="P105">
        <f t="shared" si="132"/>
        <v>0</v>
      </c>
      <c r="Q105">
        <f>IF(AND(F105=0,OR(AND($A105=$N102,$B105&lt;$D105),AND($E105=$N102,$D105&lt;$B105))),1,0)</f>
        <v>0</v>
      </c>
      <c r="R105">
        <f>IF(F105&gt;0,0,IF($A105=$N102,$B105,IF($E105=$N102,$D105,0)))</f>
        <v>0</v>
      </c>
      <c r="S105">
        <f>IF(F105&gt;0,0,IF($A105=$N102,$D105,IF($E105=$N102,$B105,0)))</f>
        <v>0</v>
      </c>
      <c r="T105">
        <f t="shared" si="133"/>
        <v>0</v>
      </c>
      <c r="U105">
        <f>IF(AND(F105=0,OR($A105=$U102,$E105=$U102)),1,0)</f>
        <v>0</v>
      </c>
      <c r="V105">
        <f>IF(AND(F105=0,OR(AND($A105=$U102,$B105&gt;$D105),AND($E105=$U102,$D105&gt;$B105))),1,0)</f>
        <v>0</v>
      </c>
      <c r="W105">
        <f t="shared" si="134"/>
        <v>0</v>
      </c>
      <c r="X105">
        <f>IF(AND(F105=0,OR(AND($A105=$U102,$B105&lt;$D105),AND($E105=$U102,$D105&lt;$B105))),1,0)</f>
        <v>0</v>
      </c>
      <c r="Y105">
        <f>IF(F105&gt;0,0,IF($A105=$U102,$B105,IF($E105=$U102,$D105,0)))</f>
        <v>0</v>
      </c>
      <c r="Z105">
        <f>IF(F105&gt;0,0,IF($A105=$U102,$D105,IF($E105=$U102,$B105,0)))</f>
        <v>0</v>
      </c>
      <c r="AA105">
        <f t="shared" si="135"/>
        <v>0</v>
      </c>
      <c r="AB105">
        <f>IF(AND(F105=0,OR($A105=$AB102,$E105=$AB102)),1,0)</f>
        <v>0</v>
      </c>
      <c r="AC105">
        <f>IF(AND(F105=0,OR(AND($A105=$AB102,$B105&gt;$D105),AND($E105=$AB102,$D105&gt;$B105))),1,0)</f>
        <v>0</v>
      </c>
      <c r="AD105">
        <f t="shared" si="136"/>
        <v>0</v>
      </c>
      <c r="AE105">
        <f>IF(AND(F105=0,OR(AND($A105=$AB102,$B105&lt;$D105),AND($E105=$AB102,$D105&lt;$B105))),1,0)</f>
        <v>0</v>
      </c>
      <c r="AF105">
        <f>IF(F105&gt;0,0,IF($A105=$AB102,$B105,IF($E105=$AB102,$D105,0)))</f>
        <v>0</v>
      </c>
      <c r="AG105">
        <f>IF(F105&gt;0,0,IF($A105=$AB102,$D105,IF($E105=$AB102,$B105,0)))</f>
        <v>0</v>
      </c>
      <c r="AH105">
        <f t="shared" si="137"/>
        <v>0</v>
      </c>
      <c r="AJ105" s="28" t="str">
        <f>N102</f>
        <v/>
      </c>
      <c r="AK105" s="28">
        <f t="shared" ref="AK105:AQ105" si="139">N110</f>
        <v>0</v>
      </c>
      <c r="AL105" s="28">
        <f t="shared" si="139"/>
        <v>0</v>
      </c>
      <c r="AM105" s="28">
        <f t="shared" si="139"/>
        <v>0</v>
      </c>
      <c r="AN105" s="28">
        <f t="shared" si="139"/>
        <v>0</v>
      </c>
      <c r="AO105" s="28">
        <f t="shared" si="139"/>
        <v>0</v>
      </c>
      <c r="AP105" s="28">
        <f t="shared" si="139"/>
        <v>0</v>
      </c>
      <c r="AQ105" s="28">
        <f t="shared" si="139"/>
        <v>0</v>
      </c>
      <c r="AS105" s="28" t="str">
        <f>IF($AQ105&lt;=$AQ104,$AJ105,$AJ104)</f>
        <v/>
      </c>
      <c r="AT105" s="28">
        <f>VLOOKUP(AS105,$AJ104:$AQ107,8,FALSE)</f>
        <v>0</v>
      </c>
      <c r="AU105" s="28" t="str">
        <f>IF($AT105&gt;=$AT107,$AS105,$AS107)</f>
        <v/>
      </c>
      <c r="AV105" s="28">
        <f>VLOOKUP(AU105,$AS104:$AT107,2,FALSE)</f>
        <v>0</v>
      </c>
      <c r="AW105" s="28" t="str">
        <f>IF($AV105&gt;=$AV106,$AU105,$AU106)</f>
        <v/>
      </c>
      <c r="AX105" s="28">
        <f>VLOOKUP(AW105,$AU104:$AV107,2,FALSE)</f>
        <v>0</v>
      </c>
      <c r="AY105" s="28">
        <f>VLOOKUP(AW105,$AJ104:$AQ107,6,FALSE)</f>
        <v>0</v>
      </c>
      <c r="AZ105" s="28">
        <f>VLOOKUP(AW105,$AJ104:$AQ107,7,FALSE)</f>
        <v>0</v>
      </c>
      <c r="BA105" s="28">
        <f>AY105-AZ105</f>
        <v>0</v>
      </c>
      <c r="BB105" s="28" t="str">
        <f>IF(AND($AX104=$AX105,$BA105&gt;$BA104),$AW104,$AW105)</f>
        <v/>
      </c>
      <c r="BC105" s="28">
        <f>VLOOKUP(BB105,$AW104:$BA107,2,FALSE)</f>
        <v>0</v>
      </c>
      <c r="BD105" s="28">
        <f>VLOOKUP(BB105,$AW104:$BA107,5,FALSE)</f>
        <v>0</v>
      </c>
      <c r="BE105" s="28" t="str">
        <f>IF(AND($BC105=$BC107,$BD107&gt;$BD105),$BB107,$BB105)</f>
        <v/>
      </c>
      <c r="BF105" s="28">
        <f>VLOOKUP(BE105,$BB104:$BD107,2,FALSE)</f>
        <v>0</v>
      </c>
      <c r="BG105" s="28">
        <f>VLOOKUP(BE105,$BB104:$BD107,3,FALSE)</f>
        <v>0</v>
      </c>
      <c r="BH105" s="28" t="str">
        <f>IF(AND($BF105=$BF106,$BG106&gt;$BG105),$BE106,$BE105)</f>
        <v/>
      </c>
      <c r="BI105" s="28">
        <f>VLOOKUP(BH105,$BE104:$BG107,2,FALSE)</f>
        <v>0</v>
      </c>
      <c r="BJ105" s="28">
        <f>VLOOKUP(BH105,$BE104:$BG107,3,FALSE)</f>
        <v>0</v>
      </c>
      <c r="BK105" s="28">
        <f>VLOOKUP(BH105,$AJ104:$AQ107,6,FALSE)</f>
        <v>0</v>
      </c>
      <c r="BL105" s="28" t="str">
        <f>IF(AND($BI104=$BI105,$BJ104=$BJ105,$BK105&gt;$BK104),$BH104,$BH105)</f>
        <v/>
      </c>
      <c r="BM105" s="28">
        <f>VLOOKUP(BL105,$BH104:$BK107,2,FALSE)</f>
        <v>0</v>
      </c>
      <c r="BN105" s="28">
        <f>VLOOKUP(BL105,$BH104:$BK107,3,FALSE)</f>
        <v>0</v>
      </c>
      <c r="BO105" s="28">
        <f>VLOOKUP(BL105,$BH104:$BK107,4,FALSE)</f>
        <v>0</v>
      </c>
      <c r="BP105" s="28" t="str">
        <f>IF(AND($BM105=$BM107,$BN105=$BN107,$BO107&gt;$BO105),$BL107,$BL105)</f>
        <v/>
      </c>
      <c r="BQ105" s="28">
        <f>VLOOKUP(BP105,$BL104:$BO107,2,FALSE)</f>
        <v>0</v>
      </c>
      <c r="BR105" s="28">
        <f>VLOOKUP(BP105,$BL104:$BO107,3,FALSE)</f>
        <v>0</v>
      </c>
      <c r="BS105" s="28">
        <f>VLOOKUP(BP105,$BL104:$BO107,4,FALSE)</f>
        <v>0</v>
      </c>
      <c r="BT105" s="28" t="str">
        <f>IF(AND($BQ105=$BQ106,$BR105=$BR106,$BS106&gt;$BS105),$BP106,$BP105)</f>
        <v/>
      </c>
      <c r="BU105" s="28">
        <f>VLOOKUP(BT105,$BP104:$BS107,2,FALSE)</f>
        <v>0</v>
      </c>
      <c r="BV105" s="28">
        <f>VLOOKUP(BT105,$BP104:$BS107,3,FALSE)</f>
        <v>0</v>
      </c>
      <c r="BW105" s="28">
        <f>VLOOKUP(BT105,$BP104:$BS107,4,FALSE)</f>
        <v>0</v>
      </c>
      <c r="BX105" s="28" t="str">
        <f>BT105</f>
        <v/>
      </c>
      <c r="BY105" s="28">
        <f>VLOOKUP($BX105,$AJ104:$AQ107,2,FALSE)</f>
        <v>0</v>
      </c>
      <c r="BZ105" s="28">
        <f>VLOOKUP($BX105,$AJ104:$AQ107,3,FALSE)</f>
        <v>0</v>
      </c>
      <c r="CA105" s="28">
        <f>VLOOKUP($BX105,$AJ104:$AQ107,4,FALSE)</f>
        <v>0</v>
      </c>
      <c r="CB105" s="28">
        <f>VLOOKUP($BX105,$AJ104:$AQ107,5,FALSE)</f>
        <v>0</v>
      </c>
      <c r="CC105" s="28">
        <f>VLOOKUP($BX105,$AJ104:$AQ107,6,FALSE)</f>
        <v>0</v>
      </c>
      <c r="CD105" s="28">
        <f>VLOOKUP($BX105,$AJ104:$AQ107,7,FALSE)</f>
        <v>0</v>
      </c>
      <c r="CE105" s="28">
        <f>VLOOKUP($BX105,$AJ104:$AQ107,8,FALSE)</f>
        <v>0</v>
      </c>
      <c r="CF105" s="128" t="str">
        <f>CONCATENATE(CC105,":",CD105)</f>
        <v>0:0</v>
      </c>
    </row>
    <row r="106" spans="1:84" x14ac:dyDescent="0.2">
      <c r="A106" s="27" t="str">
        <f>'1-zapasy'!B85</f>
        <v/>
      </c>
      <c r="B106" s="220" t="str">
        <f>'1-zapasy'!I85</f>
        <v/>
      </c>
      <c r="C106" s="220" t="e">
        <f>'3-zapasy'!#REF!</f>
        <v>#REF!</v>
      </c>
      <c r="D106" s="220" t="str">
        <f>'1-zapasy'!J85</f>
        <v/>
      </c>
      <c r="E106" s="27" t="str">
        <f>'1-zapasy'!C85</f>
        <v/>
      </c>
      <c r="F106" s="28">
        <f>COUNTBLANK('1-zapasy'!I85:'1-zapasy'!J85)</f>
        <v>2</v>
      </c>
      <c r="G106" s="28">
        <f>IF(AND(F106=0,OR($A106=$G102,$E106=$G102)),1,0)</f>
        <v>0</v>
      </c>
      <c r="H106" s="28">
        <f>IF(AND(F106=0,OR(AND($A106=$G102,$B106&gt;$D106),AND($E106=$G102,$D106&gt;$B106))),1,0)</f>
        <v>0</v>
      </c>
      <c r="I106" s="28">
        <f t="shared" si="130"/>
        <v>0</v>
      </c>
      <c r="J106" s="28">
        <f>IF(AND(F106=0,OR(AND($A106=$G102,$B106&lt;$D106),AND($E106=$G102,$D106&lt;$B106))),1,0)</f>
        <v>0</v>
      </c>
      <c r="K106" s="28">
        <f>IF(F106&gt;0,0,IF($A106=$G102,$B106,IF($E106=$G102,$D106,0)))</f>
        <v>0</v>
      </c>
      <c r="L106" s="28">
        <f>IF(F106&gt;0,0,IF($A106=$G102,$D106,IF($E106=$G102,$B106,0)))</f>
        <v>0</v>
      </c>
      <c r="M106">
        <f t="shared" si="131"/>
        <v>0</v>
      </c>
      <c r="N106">
        <f>IF(AND(F106=0,OR($A106=$N102,$E106=$N102)),1,0)</f>
        <v>0</v>
      </c>
      <c r="O106">
        <f>IF(AND(F106=0,OR(AND($A106=$N102,$B106&gt;$D106),AND($E106=$N102,$D106&gt;$B106))),1,0)</f>
        <v>0</v>
      </c>
      <c r="P106">
        <f t="shared" si="132"/>
        <v>0</v>
      </c>
      <c r="Q106">
        <f>IF(AND(F106=0,OR(AND($A106=$N102,$B106&lt;$D106),AND($E106=$N102,$D106&lt;$B106))),1,0)</f>
        <v>0</v>
      </c>
      <c r="R106">
        <f>IF(F106&gt;0,0,IF($A106=$N102,$B106,IF($E106=$N102,$D106,0)))</f>
        <v>0</v>
      </c>
      <c r="S106">
        <f>IF(F106&gt;0,0,IF($A106=$N102,$D106,IF($E106=$N102,$B106,0)))</f>
        <v>0</v>
      </c>
      <c r="T106">
        <f t="shared" si="133"/>
        <v>0</v>
      </c>
      <c r="U106">
        <f>IF(AND(F106=0,OR($A106=$U102,$E106=$U102)),1,0)</f>
        <v>0</v>
      </c>
      <c r="V106">
        <f>IF(AND(F106=0,OR(AND($A106=$U102,$B106&gt;$D106),AND($E106=$U102,$D106&gt;$B106))),1,0)</f>
        <v>0</v>
      </c>
      <c r="W106">
        <f t="shared" si="134"/>
        <v>0</v>
      </c>
      <c r="X106">
        <f>IF(AND(F106=0,OR(AND($A106=$U102,$B106&lt;$D106),AND($E106=$U102,$D106&lt;$B106))),1,0)</f>
        <v>0</v>
      </c>
      <c r="Y106">
        <f>IF(F106&gt;0,0,IF($A106=$U102,$B106,IF($E106=$U102,$D106,0)))</f>
        <v>0</v>
      </c>
      <c r="Z106">
        <f>IF(F106&gt;0,0,IF($A106=$U102,$D106,IF($E106=$U102,$B106,0)))</f>
        <v>0</v>
      </c>
      <c r="AA106">
        <f t="shared" si="135"/>
        <v>0</v>
      </c>
      <c r="AB106">
        <f>IF(AND(F106=0,OR($A106=$AB102,$E106=$AB102)),1,0)</f>
        <v>0</v>
      </c>
      <c r="AC106">
        <f>IF(AND(F106=0,OR(AND($A106=$AB102,$B106&gt;$D106),AND($E106=$AB102,$D106&gt;$B106))),1,0)</f>
        <v>0</v>
      </c>
      <c r="AD106">
        <f t="shared" si="136"/>
        <v>0</v>
      </c>
      <c r="AE106">
        <f>IF(AND(F106=0,OR(AND($A106=$AB102,$B106&lt;$D106),AND($E106=$AB102,$D106&lt;$B106))),1,0)</f>
        <v>0</v>
      </c>
      <c r="AF106">
        <f>IF(F106&gt;0,0,IF($A106=$AB102,$B106,IF($E106=$AB102,$D106,0)))</f>
        <v>0</v>
      </c>
      <c r="AG106">
        <f>IF(F106&gt;0,0,IF($A106=$AB102,$D106,IF($E106=$AB102,$B106,0)))</f>
        <v>0</v>
      </c>
      <c r="AH106">
        <f t="shared" si="137"/>
        <v>0</v>
      </c>
      <c r="AJ106" s="28" t="str">
        <f>U102</f>
        <v/>
      </c>
      <c r="AK106" s="28">
        <f t="shared" ref="AK106:AQ106" si="140">U110</f>
        <v>0</v>
      </c>
      <c r="AL106" s="28">
        <f t="shared" si="140"/>
        <v>0</v>
      </c>
      <c r="AM106" s="28">
        <f t="shared" si="140"/>
        <v>0</v>
      </c>
      <c r="AN106" s="28">
        <f t="shared" si="140"/>
        <v>0</v>
      </c>
      <c r="AO106" s="28">
        <f t="shared" si="140"/>
        <v>0</v>
      </c>
      <c r="AP106" s="28">
        <f t="shared" si="140"/>
        <v>0</v>
      </c>
      <c r="AQ106" s="28">
        <f t="shared" si="140"/>
        <v>0</v>
      </c>
      <c r="AS106" s="28" t="str">
        <f>IF($AQ106&gt;=$AQ107,$AJ106,$AJ107)</f>
        <v/>
      </c>
      <c r="AT106" s="28">
        <f>VLOOKUP(AS106,$AJ104:$AQ107,8,FALSE)</f>
        <v>0</v>
      </c>
      <c r="AU106" s="28" t="str">
        <f>IF($AT106&lt;=$AT104,$AS106,$AS104)</f>
        <v/>
      </c>
      <c r="AV106" s="28">
        <f>VLOOKUP(AU106,$AS104:$AT107,2,FALSE)</f>
        <v>0</v>
      </c>
      <c r="AW106" s="28" t="str">
        <f>IF($AV106&lt;=$AV105,$AU106,$AU105)</f>
        <v/>
      </c>
      <c r="AX106" s="28">
        <f>VLOOKUP(AW106,$AU104:$AV107,2,FALSE)</f>
        <v>0</v>
      </c>
      <c r="AY106" s="28">
        <f>VLOOKUP(AW106,$AJ104:$AQ107,6,FALSE)</f>
        <v>0</v>
      </c>
      <c r="AZ106" s="28">
        <f>VLOOKUP(AW106,$AJ104:$AQ107,7,FALSE)</f>
        <v>0</v>
      </c>
      <c r="BA106" s="28">
        <f>AY106-AZ106</f>
        <v>0</v>
      </c>
      <c r="BB106" s="28" t="str">
        <f>IF(AND($AX106=$AX107,$BA107&gt;$BA106),$AW107,$AW106)</f>
        <v/>
      </c>
      <c r="BC106" s="28">
        <f>VLOOKUP(BB106,$AW104:$BA107,2,FALSE)</f>
        <v>0</v>
      </c>
      <c r="BD106" s="28">
        <f>VLOOKUP(BB106,$AW104:$BA107,5,FALSE)</f>
        <v>0</v>
      </c>
      <c r="BE106" s="28" t="str">
        <f>IF(AND($BC104=$BC106,$BD106&gt;$BD104),$BB104,$BB106)</f>
        <v/>
      </c>
      <c r="BF106" s="28">
        <f>VLOOKUP(BE106,$BB104:$BD107,2,FALSE)</f>
        <v>0</v>
      </c>
      <c r="BG106" s="28">
        <f>VLOOKUP(BE106,$BB104:$BD107,3,FALSE)</f>
        <v>0</v>
      </c>
      <c r="BH106" s="28" t="str">
        <f>IF(AND($BF105=$BF106,$BG106&gt;$BG105),$BE105,$BE106)</f>
        <v/>
      </c>
      <c r="BI106" s="28">
        <f>VLOOKUP(BH106,$BE104:$BG107,2,FALSE)</f>
        <v>0</v>
      </c>
      <c r="BJ106" s="28">
        <f>VLOOKUP(BH106,$BE104:$BG107,3,FALSE)</f>
        <v>0</v>
      </c>
      <c r="BK106" s="28">
        <f>VLOOKUP(BH106,$AJ104:$AQ107,6,FALSE)</f>
        <v>0</v>
      </c>
      <c r="BL106" s="28" t="str">
        <f>IF(AND($BI106=$BI107,$BJ106=$BJ107,$BK107&gt;$BK106),$BH107,$BH106)</f>
        <v/>
      </c>
      <c r="BM106" s="28">
        <f>VLOOKUP(BL106,$BH104:$BK107,2,FALSE)</f>
        <v>0</v>
      </c>
      <c r="BN106" s="28">
        <f>VLOOKUP(BL106,$BH104:$BK107,3,FALSE)</f>
        <v>0</v>
      </c>
      <c r="BO106" s="28">
        <f>VLOOKUP(BL106,$BH104:$BK107,4,FALSE)</f>
        <v>0</v>
      </c>
      <c r="BP106" s="28" t="str">
        <f>IF(AND($BM104=$BM106,$BN104=$BN106,$BO106&gt;$BO104),$BL104,$BL106)</f>
        <v/>
      </c>
      <c r="BQ106" s="28">
        <f>VLOOKUP(BP106,$BL104:$BO107,2,FALSE)</f>
        <v>0</v>
      </c>
      <c r="BR106" s="28">
        <f>VLOOKUP(BP106,$BL104:$BO107,3,FALSE)</f>
        <v>0</v>
      </c>
      <c r="BS106" s="28">
        <f>VLOOKUP(BP106,$BL104:$BO107,4,FALSE)</f>
        <v>0</v>
      </c>
      <c r="BT106" s="28" t="str">
        <f>IF(AND($BQ105=$BQ106,$BR105=$BR106,$BS106&gt;$BS105),$BP105,$BP106)</f>
        <v/>
      </c>
      <c r="BU106" s="28">
        <f>VLOOKUP(BT106,$BP104:$BS107,2,FALSE)</f>
        <v>0</v>
      </c>
      <c r="BV106" s="28">
        <f>VLOOKUP(BT106,$BP104:$BS107,3,FALSE)</f>
        <v>0</v>
      </c>
      <c r="BW106" s="28">
        <f>VLOOKUP(BT106,$BP104:$BS107,4,FALSE)</f>
        <v>0</v>
      </c>
      <c r="BX106" s="28" t="str">
        <f>BT106</f>
        <v/>
      </c>
      <c r="BY106" s="28">
        <f>VLOOKUP($BX106,$AJ104:$AQ107,2,FALSE)</f>
        <v>0</v>
      </c>
      <c r="BZ106" s="28">
        <f>VLOOKUP($BX106,$AJ104:$AQ107,3,FALSE)</f>
        <v>0</v>
      </c>
      <c r="CA106" s="28">
        <f>VLOOKUP($BX106,$AJ104:$AQ107,4,FALSE)</f>
        <v>0</v>
      </c>
      <c r="CB106" s="28">
        <f>VLOOKUP($BX106,$AJ104:$AQ107,5,FALSE)</f>
        <v>0</v>
      </c>
      <c r="CC106" s="28">
        <f>VLOOKUP($BX106,$AJ104:$AQ107,6,FALSE)</f>
        <v>0</v>
      </c>
      <c r="CD106" s="28">
        <f>VLOOKUP($BX106,$AJ104:$AQ107,7,FALSE)</f>
        <v>0</v>
      </c>
      <c r="CE106" s="28">
        <f>VLOOKUP($BX106,$AJ104:$AQ107,8,FALSE)</f>
        <v>0</v>
      </c>
      <c r="CF106" s="128" t="str">
        <f>CONCATENATE(CC106,":",CD106)</f>
        <v>0:0</v>
      </c>
    </row>
    <row r="107" spans="1:84" x14ac:dyDescent="0.2">
      <c r="A107" s="27" t="str">
        <f>'1-zapasy'!B86</f>
        <v/>
      </c>
      <c r="B107" s="220" t="str">
        <f>'1-zapasy'!I86</f>
        <v/>
      </c>
      <c r="C107" s="220" t="e">
        <f>'3-zapasy'!#REF!</f>
        <v>#REF!</v>
      </c>
      <c r="D107" s="220" t="str">
        <f>'1-zapasy'!J86</f>
        <v/>
      </c>
      <c r="E107" s="27" t="str">
        <f>'1-zapasy'!C86</f>
        <v/>
      </c>
      <c r="F107" s="28">
        <f>COUNTBLANK('1-zapasy'!I86:'1-zapasy'!J86)</f>
        <v>2</v>
      </c>
      <c r="G107" s="28">
        <f>IF(AND(F107=0,OR($A107=$G102,$E107=$G102)),1,0)</f>
        <v>0</v>
      </c>
      <c r="H107" s="28">
        <f>IF(AND(F107=0,OR(AND($A107=$G102,$B107&gt;$D107),AND($E107=$G102,$D107&gt;$B107))),1,0)</f>
        <v>0</v>
      </c>
      <c r="I107" s="28">
        <f t="shared" si="130"/>
        <v>0</v>
      </c>
      <c r="J107" s="28">
        <f>IF(AND(F107=0,OR(AND($A107=$G102,$B107&lt;$D107),AND($E107=$G102,$D107&lt;$B107))),1,0)</f>
        <v>0</v>
      </c>
      <c r="K107" s="28">
        <f>IF(F107&gt;0,0,IF($A107=$G102,$B107,IF($E107=$G102,$D107,0)))</f>
        <v>0</v>
      </c>
      <c r="L107" s="28">
        <f>IF(F107&gt;0,0,IF($A107=$G102,$D107,IF($E107=$G102,$B107,0)))</f>
        <v>0</v>
      </c>
      <c r="M107">
        <f t="shared" si="131"/>
        <v>0</v>
      </c>
      <c r="N107">
        <f>IF(AND(F107=0,OR($A107=$N102,$E107=$N102)),1,0)</f>
        <v>0</v>
      </c>
      <c r="O107">
        <f>IF(AND(F107=0,OR(AND($A107=$N102,$B107&gt;$D107),AND($E107=$N102,$D107&gt;$B107))),1,0)</f>
        <v>0</v>
      </c>
      <c r="P107">
        <f t="shared" si="132"/>
        <v>0</v>
      </c>
      <c r="Q107">
        <f>IF(AND(F107=0,OR(AND($A107=$N102,$B107&lt;$D107),AND($E107=$N102,$D107&lt;$B107))),1,0)</f>
        <v>0</v>
      </c>
      <c r="R107">
        <f>IF(F107&gt;0,0,IF($A107=$N102,$B107,IF($E107=$N102,$D107,0)))</f>
        <v>0</v>
      </c>
      <c r="S107">
        <f>IF(F107&gt;0,0,IF($A107=$N102,$D107,IF($E107=$N102,$B107,0)))</f>
        <v>0</v>
      </c>
      <c r="T107">
        <f t="shared" si="133"/>
        <v>0</v>
      </c>
      <c r="U107">
        <f>IF(AND(F107=0,OR($A107=$U102,$E107=$U102)),1,0)</f>
        <v>0</v>
      </c>
      <c r="V107">
        <f>IF(AND(F107=0,OR(AND($A107=$U102,$B107&gt;$D107),AND($E107=$U102,$D107&gt;$B107))),1,0)</f>
        <v>0</v>
      </c>
      <c r="W107">
        <f t="shared" si="134"/>
        <v>0</v>
      </c>
      <c r="X107">
        <f>IF(AND(F107=0,OR(AND($A107=$U102,$B107&lt;$D107),AND($E107=$U102,$D107&lt;$B107))),1,0)</f>
        <v>0</v>
      </c>
      <c r="Y107">
        <f>IF(F107&gt;0,0,IF($A107=$U102,$B107,IF($E107=$U102,$D107,0)))</f>
        <v>0</v>
      </c>
      <c r="Z107">
        <f>IF(F107&gt;0,0,IF($A107=$U102,$D107,IF($E107=$U102,$B107,0)))</f>
        <v>0</v>
      </c>
      <c r="AA107">
        <f t="shared" si="135"/>
        <v>0</v>
      </c>
      <c r="AB107">
        <f>IF(AND(F107=0,OR($A107=$AB102,$E107=$AB102)),1,0)</f>
        <v>0</v>
      </c>
      <c r="AC107">
        <f>IF(AND(F107=0,OR(AND($A107=$AB102,$B107&gt;$D107),AND($E107=$AB102,$D107&gt;$B107))),1,0)</f>
        <v>0</v>
      </c>
      <c r="AD107">
        <f t="shared" si="136"/>
        <v>0</v>
      </c>
      <c r="AE107">
        <f>IF(AND(F107=0,OR(AND($A107=$AB102,$B107&lt;$D107),AND($E107=$AB102,$D107&lt;$B107))),1,0)</f>
        <v>0</v>
      </c>
      <c r="AF107">
        <f>IF(F107&gt;0,0,IF($A107=$AB102,$B107,IF($E107=$AB102,$D107,0)))</f>
        <v>0</v>
      </c>
      <c r="AG107">
        <f>IF(F107&gt;0,0,IF($A107=$AB102,$D107,IF($E107=$AB102,$B107,0)))</f>
        <v>0</v>
      </c>
      <c r="AH107">
        <f t="shared" si="137"/>
        <v>0</v>
      </c>
      <c r="AJ107" s="28" t="str">
        <f>AB102</f>
        <v/>
      </c>
      <c r="AK107" s="28">
        <f t="shared" ref="AK107:AQ107" si="141">AB110</f>
        <v>0</v>
      </c>
      <c r="AL107" s="28">
        <f t="shared" si="141"/>
        <v>0</v>
      </c>
      <c r="AM107" s="28">
        <f t="shared" si="141"/>
        <v>0</v>
      </c>
      <c r="AN107" s="28">
        <f t="shared" si="141"/>
        <v>0</v>
      </c>
      <c r="AO107" s="28">
        <f t="shared" si="141"/>
        <v>0</v>
      </c>
      <c r="AP107" s="28">
        <f t="shared" si="141"/>
        <v>0</v>
      </c>
      <c r="AQ107" s="28">
        <f t="shared" si="141"/>
        <v>0</v>
      </c>
      <c r="AS107" s="28" t="str">
        <f>IF($AQ107&lt;=$AQ106,$AJ107,$AJ106)</f>
        <v/>
      </c>
      <c r="AT107" s="28">
        <f>VLOOKUP(AS107,$AJ104:$AQ107,8,FALSE)</f>
        <v>0</v>
      </c>
      <c r="AU107" s="28" t="str">
        <f>IF($AT107&lt;=$AT105,$AS107,$AS105)</f>
        <v/>
      </c>
      <c r="AV107" s="28">
        <f>VLOOKUP(AU107,$AS104:$AT107,2,FALSE)</f>
        <v>0</v>
      </c>
      <c r="AW107" s="28" t="str">
        <f>IF($AV107&lt;=$AV104,$AU107,$AU104)</f>
        <v/>
      </c>
      <c r="AX107" s="28">
        <f>VLOOKUP(AW107,$AU104:$AV107,2,FALSE)</f>
        <v>0</v>
      </c>
      <c r="AY107" s="28">
        <f>VLOOKUP(AW107,$AJ104:$AQ107,6,FALSE)</f>
        <v>0</v>
      </c>
      <c r="AZ107" s="28">
        <f>VLOOKUP(AW107,$AJ104:$AQ107,7,FALSE)</f>
        <v>0</v>
      </c>
      <c r="BA107" s="28">
        <f>AY107-AZ107</f>
        <v>0</v>
      </c>
      <c r="BB107" s="28" t="str">
        <f>IF(AND($AX106=$AX107,$BA107&gt;$BA106),$AW106,$AW107)</f>
        <v/>
      </c>
      <c r="BC107" s="28">
        <f>VLOOKUP(BB107,$AW104:$BA107,2,FALSE)</f>
        <v>0</v>
      </c>
      <c r="BD107" s="28">
        <f>VLOOKUP(BB107,$AW104:$BA107,5,FALSE)</f>
        <v>0</v>
      </c>
      <c r="BE107" s="28" t="str">
        <f>IF(AND($BC105=$BC107,$BD107&gt;$BD105),$BB105,$BB107)</f>
        <v/>
      </c>
      <c r="BF107" s="28">
        <f>VLOOKUP(BE107,$BB104:$BD107,2,FALSE)</f>
        <v>0</v>
      </c>
      <c r="BG107" s="28">
        <f>VLOOKUP(BE107,$BB104:$BD107,3,FALSE)</f>
        <v>0</v>
      </c>
      <c r="BH107" s="28" t="str">
        <f>IF(AND($BF104=$BF107,$BG107&gt;$BG104),$BE104,$BE107)</f>
        <v/>
      </c>
      <c r="BI107" s="28">
        <f>VLOOKUP(BH107,$BE104:$BG107,2,FALSE)</f>
        <v>0</v>
      </c>
      <c r="BJ107" s="28">
        <f>VLOOKUP(BH107,$BE104:$BG107,3,FALSE)</f>
        <v>0</v>
      </c>
      <c r="BK107" s="28">
        <f>VLOOKUP(BH107,$AJ104:$AQ107,6,FALSE)</f>
        <v>0</v>
      </c>
      <c r="BL107" s="28" t="str">
        <f>IF(AND($BI106=$BI107,$BJ106=$BJ107,$BK107&gt;$BK106),$BH106,$BH107)</f>
        <v/>
      </c>
      <c r="BM107" s="28">
        <f>VLOOKUP(BL107,$BH104:$BK107,2,FALSE)</f>
        <v>0</v>
      </c>
      <c r="BN107" s="28">
        <f>VLOOKUP(BL107,$BH104:$BK107,3,FALSE)</f>
        <v>0</v>
      </c>
      <c r="BO107" s="28">
        <f>VLOOKUP(BL107,$BH104:$BK107,4,FALSE)</f>
        <v>0</v>
      </c>
      <c r="BP107" s="28" t="str">
        <f>IF(AND($BM105=$BM107,$BN105=$BN107,$BO107&gt;$BO105),$BL105,$BL107)</f>
        <v/>
      </c>
      <c r="BQ107" s="28">
        <f>VLOOKUP(BP107,$BL104:$BO107,2,FALSE)</f>
        <v>0</v>
      </c>
      <c r="BR107" s="28">
        <f>VLOOKUP(BP107,$BL104:$BO107,3,FALSE)</f>
        <v>0</v>
      </c>
      <c r="BS107" s="28">
        <f>VLOOKUP(BP107,$BL104:$BO107,4,FALSE)</f>
        <v>0</v>
      </c>
      <c r="BT107" s="28" t="str">
        <f>IF(AND($BQ104=$BQ107,$BR104=$BR107,$BS107&gt;$BS104),$BP104,$BP107)</f>
        <v/>
      </c>
      <c r="BU107" s="28">
        <f>VLOOKUP(BT107,$BP104:$BS107,2,FALSE)</f>
        <v>0</v>
      </c>
      <c r="BV107" s="28">
        <f>VLOOKUP(BT107,$BP104:$BS107,3,FALSE)</f>
        <v>0</v>
      </c>
      <c r="BW107" s="28">
        <f>VLOOKUP(BT107,$BP104:$BS107,4,FALSE)</f>
        <v>0</v>
      </c>
      <c r="BX107" s="28" t="str">
        <f>BT107</f>
        <v/>
      </c>
      <c r="BY107" s="28">
        <f>VLOOKUP($BX107,$AJ104:$AQ107,2,FALSE)</f>
        <v>0</v>
      </c>
      <c r="BZ107" s="28">
        <f>VLOOKUP($BX107,$AJ104:$AQ107,3,FALSE)</f>
        <v>0</v>
      </c>
      <c r="CA107" s="28">
        <f>VLOOKUP($BX107,$AJ104:$AQ107,4,FALSE)</f>
        <v>0</v>
      </c>
      <c r="CB107" s="28">
        <f>VLOOKUP($BX107,$AJ104:$AQ107,5,FALSE)</f>
        <v>0</v>
      </c>
      <c r="CC107" s="28">
        <f>VLOOKUP($BX107,$AJ104:$AQ107,6,FALSE)</f>
        <v>0</v>
      </c>
      <c r="CD107" s="28">
        <f>VLOOKUP($BX107,$AJ104:$AQ107,7,FALSE)</f>
        <v>0</v>
      </c>
      <c r="CE107" s="28">
        <f>VLOOKUP($BX107,$AJ104:$AQ107,8,FALSE)</f>
        <v>0</v>
      </c>
      <c r="CF107" s="128" t="str">
        <f>CONCATENATE(CC107,":",CD107)</f>
        <v>0:0</v>
      </c>
    </row>
    <row r="108" spans="1:84" x14ac:dyDescent="0.2">
      <c r="A108" s="27" t="str">
        <f>'1-zapasy'!B87</f>
        <v/>
      </c>
      <c r="B108" s="220" t="str">
        <f>'1-zapasy'!I87</f>
        <v/>
      </c>
      <c r="C108" s="220" t="e">
        <f>'3-zapasy'!#REF!</f>
        <v>#REF!</v>
      </c>
      <c r="D108" s="220" t="str">
        <f>'1-zapasy'!J87</f>
        <v/>
      </c>
      <c r="E108" s="27" t="str">
        <f>'1-zapasy'!C87</f>
        <v/>
      </c>
      <c r="F108" s="28">
        <f>COUNTBLANK('1-zapasy'!I87:'1-zapasy'!J87)</f>
        <v>2</v>
      </c>
      <c r="G108" s="28">
        <f>IF(AND(F108=0,OR($A108=$G102,$E108=$G102)),1,0)</f>
        <v>0</v>
      </c>
      <c r="H108" s="28">
        <f>IF(AND(F108=0,OR(AND($A108=$G102,$B108&gt;$D108),AND($E108=$G102,$D108&gt;$B108))),1,0)</f>
        <v>0</v>
      </c>
      <c r="I108" s="28">
        <f t="shared" si="130"/>
        <v>0</v>
      </c>
      <c r="J108" s="28">
        <f>IF(AND(F108=0,OR(AND($A108=$G102,$B108&lt;$D108),AND($E108=$G102,$D108&lt;$B108))),1,0)</f>
        <v>0</v>
      </c>
      <c r="K108" s="28">
        <f>IF(F108&gt;0,0,IF($A108=$G102,$B108,IF($E108=$G102,$D108,0)))</f>
        <v>0</v>
      </c>
      <c r="L108" s="28">
        <f>IF(F108&gt;0,0,IF($A108=$G102,$D108,IF($E108=$G102,$B108,0)))</f>
        <v>0</v>
      </c>
      <c r="M108">
        <f t="shared" si="131"/>
        <v>0</v>
      </c>
      <c r="N108">
        <f>IF(AND(F108=0,OR($A108=$N102,$E108=$N102)),1,0)</f>
        <v>0</v>
      </c>
      <c r="O108">
        <f>IF(AND(F108=0,OR(AND($A108=$N102,$B108&gt;$D108),AND($E108=$N102,$D108&gt;$B108))),1,0)</f>
        <v>0</v>
      </c>
      <c r="P108">
        <f t="shared" si="132"/>
        <v>0</v>
      </c>
      <c r="Q108">
        <f>IF(AND(F108=0,OR(AND($A108=$N102,$B108&lt;$D108),AND($E108=$N102,$D108&lt;$B108))),1,0)</f>
        <v>0</v>
      </c>
      <c r="R108">
        <f>IF(F108&gt;0,0,IF($A108=$N102,$B108,IF($E108=$N102,$D108,0)))</f>
        <v>0</v>
      </c>
      <c r="S108">
        <f>IF(F108&gt;0,0,IF($A108=$N102,$D108,IF($E108=$N102,$B108,0)))</f>
        <v>0</v>
      </c>
      <c r="T108">
        <f t="shared" si="133"/>
        <v>0</v>
      </c>
      <c r="U108">
        <f>IF(AND(F108=0,OR($A108=$U102,$E108=$U102)),1,0)</f>
        <v>0</v>
      </c>
      <c r="V108">
        <f>IF(AND(F108=0,OR(AND($A108=$U102,$B108&gt;$D108),AND($E108=$U102,$D108&gt;$B108))),1,0)</f>
        <v>0</v>
      </c>
      <c r="W108">
        <f t="shared" si="134"/>
        <v>0</v>
      </c>
      <c r="X108">
        <f>IF(AND(F108=0,OR(AND($A108=$U102,$B108&lt;$D108),AND($E108=$U102,$D108&lt;$B108))),1,0)</f>
        <v>0</v>
      </c>
      <c r="Y108">
        <f>IF(F108&gt;0,0,IF($A108=$U102,$B108,IF($E108=$U102,$D108,0)))</f>
        <v>0</v>
      </c>
      <c r="Z108">
        <f>IF(F108&gt;0,0,IF($A108=$U102,$D108,IF($E108=$U102,$B108,0)))</f>
        <v>0</v>
      </c>
      <c r="AA108">
        <f t="shared" si="135"/>
        <v>0</v>
      </c>
      <c r="AB108">
        <f>IF(AND(F108=0,OR($A108=$AB102,$E108=$AB102)),1,0)</f>
        <v>0</v>
      </c>
      <c r="AC108">
        <f>IF(AND(F108=0,OR(AND($A108=$AB102,$B108&gt;$D108),AND($E108=$AB102,$D108&gt;$B108))),1,0)</f>
        <v>0</v>
      </c>
      <c r="AD108">
        <f t="shared" si="136"/>
        <v>0</v>
      </c>
      <c r="AE108">
        <f>IF(AND(F108=0,OR(AND($A108=$AB102,$B108&lt;$D108),AND($E108=$AB102,$D108&lt;$B108))),1,0)</f>
        <v>0</v>
      </c>
      <c r="AF108">
        <f>IF(F108&gt;0,0,IF($A108=$AB102,$B108,IF($E108=$AB102,$D108,0)))</f>
        <v>0</v>
      </c>
      <c r="AG108">
        <f>IF(F108&gt;0,0,IF($A108=$AB102,$D108,IF($E108=$AB102,$B108,0)))</f>
        <v>0</v>
      </c>
      <c r="AH108">
        <f t="shared" si="137"/>
        <v>0</v>
      </c>
    </row>
    <row r="109" spans="1:84" x14ac:dyDescent="0.2">
      <c r="A109" s="27" t="str">
        <f>'1-zapasy'!B88</f>
        <v/>
      </c>
      <c r="B109" s="220" t="str">
        <f>'1-zapasy'!I88</f>
        <v/>
      </c>
      <c r="C109" s="220" t="e">
        <f>'3-zapasy'!#REF!</f>
        <v>#REF!</v>
      </c>
      <c r="D109" s="220" t="str">
        <f>'1-zapasy'!J88</f>
        <v/>
      </c>
      <c r="E109" s="27" t="str">
        <f>'1-zapasy'!C88</f>
        <v/>
      </c>
      <c r="F109" s="28">
        <f>COUNTBLANK('1-zapasy'!I88:'1-zapasy'!J88)</f>
        <v>2</v>
      </c>
      <c r="G109" s="28">
        <f>IF(AND(F109=0,OR($A109=$G102,$E109=$G102)),1,0)</f>
        <v>0</v>
      </c>
      <c r="H109" s="28">
        <f>IF(AND(F109=0,OR(AND($A109=$G102,$B109&gt;$D109),AND($E109=$G102,$D109&gt;$B109))),1,0)</f>
        <v>0</v>
      </c>
      <c r="I109" s="28">
        <f t="shared" si="130"/>
        <v>0</v>
      </c>
      <c r="J109" s="28">
        <f>IF(AND(F109=0,OR(AND($A109=$G102,$B109&lt;$D109),AND($E109=$G102,$D109&lt;$B109))),1,0)</f>
        <v>0</v>
      </c>
      <c r="K109" s="28">
        <f>IF(F109&gt;0,0,IF($A109=$G102,$B109,IF($E109=$G102,$D109,0)))</f>
        <v>0</v>
      </c>
      <c r="L109" s="28">
        <f>IF(F109&gt;0,0,IF($A109=$G102,$D109,IF($E109=$G102,$B109,0)))</f>
        <v>0</v>
      </c>
      <c r="M109">
        <f t="shared" si="131"/>
        <v>0</v>
      </c>
      <c r="N109">
        <f>IF(AND(F109=0,OR($A109=$N102,$E109=$N102)),1,0)</f>
        <v>0</v>
      </c>
      <c r="O109">
        <f>IF(AND(F109=0,OR(AND($A109=$N102,$B109&gt;$D109),AND($E109=$N102,$D109&gt;$B109))),1,0)</f>
        <v>0</v>
      </c>
      <c r="P109">
        <f t="shared" si="132"/>
        <v>0</v>
      </c>
      <c r="Q109">
        <f>IF(AND(F109=0,OR(AND($A109=$N102,$B109&lt;$D109),AND($E109=$N102,$D109&lt;$B109))),1,0)</f>
        <v>0</v>
      </c>
      <c r="R109">
        <f>IF(F109&gt;0,0,IF($A109=$N102,$B109,IF($E109=$N102,$D109,0)))</f>
        <v>0</v>
      </c>
      <c r="S109">
        <f>IF(F109&gt;0,0,IF($A109=$N102,$D109,IF($E109=$N102,$B109,0)))</f>
        <v>0</v>
      </c>
      <c r="T109">
        <f t="shared" si="133"/>
        <v>0</v>
      </c>
      <c r="U109">
        <f>IF(AND(F109=0,OR($A109=$U102,$E109=$U102)),1,0)</f>
        <v>0</v>
      </c>
      <c r="V109">
        <f>IF(AND(F109=0,OR(AND($A109=$U102,$B109&gt;$D109),AND($E109=$U102,$D109&gt;$B109))),1,0)</f>
        <v>0</v>
      </c>
      <c r="W109">
        <f t="shared" si="134"/>
        <v>0</v>
      </c>
      <c r="X109">
        <f>IF(AND(F109=0,OR(AND($A109=$U102,$B109&lt;$D109),AND($E109=$U102,$D109&lt;$B109))),1,0)</f>
        <v>0</v>
      </c>
      <c r="Y109">
        <f>IF(F109&gt;0,0,IF($A109=$U102,$B109,IF($E109=$U102,$D109,0)))</f>
        <v>0</v>
      </c>
      <c r="Z109">
        <f>IF(F109&gt;0,0,IF($A109=$U102,$D109,IF($E109=$U102,$B109,0)))</f>
        <v>0</v>
      </c>
      <c r="AA109">
        <f t="shared" si="135"/>
        <v>0</v>
      </c>
      <c r="AB109">
        <f>IF(AND(F109=0,OR($A109=$AB102,$E109=$AB102)),1,0)</f>
        <v>0</v>
      </c>
      <c r="AC109">
        <f>IF(AND(F109=0,OR(AND($A109=$AB102,$B109&gt;$D109),AND($E109=$AB102,$D109&gt;$B109))),1,0)</f>
        <v>0</v>
      </c>
      <c r="AD109">
        <f t="shared" si="136"/>
        <v>0</v>
      </c>
      <c r="AE109">
        <f>IF(AND(F109=0,OR(AND($A109=$AB102,$B109&lt;$D109),AND($E109=$AB102,$D109&lt;$B109))),1,0)</f>
        <v>0</v>
      </c>
      <c r="AF109">
        <f>IF(F109&gt;0,0,IF($A109=$AB102,$B109,IF($E109=$AB102,$D109,0)))</f>
        <v>0</v>
      </c>
      <c r="AG109">
        <f>IF(F109&gt;0,0,IF($A109=$AB102,$D109,IF($E109=$AB102,$B109,0)))</f>
        <v>0</v>
      </c>
      <c r="AH109">
        <f t="shared" si="137"/>
        <v>0</v>
      </c>
    </row>
    <row r="110" spans="1:84" x14ac:dyDescent="0.2">
      <c r="G110" s="28">
        <f t="shared" ref="G110:AH110" si="142">SUM(G104:G109)</f>
        <v>0</v>
      </c>
      <c r="H110" s="28">
        <f t="shared" si="142"/>
        <v>0</v>
      </c>
      <c r="I110" s="28">
        <f t="shared" si="142"/>
        <v>0</v>
      </c>
      <c r="J110" s="28">
        <f t="shared" si="142"/>
        <v>0</v>
      </c>
      <c r="K110" s="28">
        <f t="shared" si="142"/>
        <v>0</v>
      </c>
      <c r="L110" s="28">
        <f t="shared" si="142"/>
        <v>0</v>
      </c>
      <c r="M110">
        <f t="shared" si="142"/>
        <v>0</v>
      </c>
      <c r="N110">
        <f t="shared" si="142"/>
        <v>0</v>
      </c>
      <c r="O110">
        <f t="shared" si="142"/>
        <v>0</v>
      </c>
      <c r="P110">
        <f t="shared" si="142"/>
        <v>0</v>
      </c>
      <c r="Q110">
        <f t="shared" si="142"/>
        <v>0</v>
      </c>
      <c r="R110">
        <f t="shared" si="142"/>
        <v>0</v>
      </c>
      <c r="S110">
        <f t="shared" si="142"/>
        <v>0</v>
      </c>
      <c r="T110">
        <f t="shared" si="142"/>
        <v>0</v>
      </c>
      <c r="U110">
        <f t="shared" si="142"/>
        <v>0</v>
      </c>
      <c r="V110">
        <f t="shared" si="142"/>
        <v>0</v>
      </c>
      <c r="W110">
        <f t="shared" si="142"/>
        <v>0</v>
      </c>
      <c r="X110">
        <f t="shared" si="142"/>
        <v>0</v>
      </c>
      <c r="Y110">
        <f t="shared" si="142"/>
        <v>0</v>
      </c>
      <c r="Z110">
        <f t="shared" si="142"/>
        <v>0</v>
      </c>
      <c r="AA110">
        <f t="shared" si="142"/>
        <v>0</v>
      </c>
      <c r="AB110">
        <f t="shared" si="142"/>
        <v>0</v>
      </c>
      <c r="AC110">
        <f t="shared" si="142"/>
        <v>0</v>
      </c>
      <c r="AD110">
        <f t="shared" si="142"/>
        <v>0</v>
      </c>
      <c r="AE110">
        <f t="shared" si="142"/>
        <v>0</v>
      </c>
      <c r="AF110">
        <f t="shared" si="142"/>
        <v>0</v>
      </c>
      <c r="AG110">
        <f t="shared" si="142"/>
        <v>0</v>
      </c>
      <c r="AH110">
        <f t="shared" si="142"/>
        <v>0</v>
      </c>
    </row>
    <row r="112" spans="1:84" x14ac:dyDescent="0.2">
      <c r="A112" s="463" t="str">
        <f>'1-zapasy'!A89</f>
        <v>skupina B6</v>
      </c>
      <c r="B112" s="464"/>
      <c r="C112" s="464"/>
      <c r="D112" s="464"/>
      <c r="E112" s="464"/>
      <c r="F112" s="28" t="s">
        <v>67</v>
      </c>
      <c r="G112" s="465" t="str">
        <f>A114</f>
        <v/>
      </c>
      <c r="H112" s="465"/>
      <c r="I112" s="465"/>
      <c r="J112" s="465"/>
      <c r="K112" s="465"/>
      <c r="L112" s="465"/>
      <c r="M112" s="465"/>
      <c r="N112" s="465" t="str">
        <f>E114</f>
        <v/>
      </c>
      <c r="O112" s="465"/>
      <c r="P112" s="465"/>
      <c r="Q112" s="465"/>
      <c r="R112" s="465"/>
      <c r="S112" s="465"/>
      <c r="T112" s="465"/>
      <c r="U112" s="465" t="str">
        <f>A115</f>
        <v/>
      </c>
      <c r="V112" s="465"/>
      <c r="W112" s="465"/>
      <c r="X112" s="465"/>
      <c r="Y112" s="465"/>
      <c r="Z112" s="465"/>
      <c r="AA112" s="465"/>
      <c r="AB112" s="465" t="str">
        <f>E115</f>
        <v/>
      </c>
      <c r="AC112" s="465"/>
      <c r="AD112" s="465"/>
      <c r="AE112" s="465"/>
      <c r="AF112" s="465"/>
      <c r="AG112" s="465"/>
      <c r="AH112" s="465"/>
      <c r="AJ112" s="465" t="s">
        <v>68</v>
      </c>
      <c r="AK112" s="465"/>
      <c r="AL112" s="465"/>
      <c r="AM112" s="465"/>
      <c r="AN112" s="465"/>
      <c r="AO112" s="465"/>
      <c r="AP112" s="465"/>
      <c r="AQ112" s="465"/>
      <c r="BX112" s="28" t="s">
        <v>69</v>
      </c>
    </row>
    <row r="113" spans="1:84" x14ac:dyDescent="0.2">
      <c r="A113" s="464"/>
      <c r="B113" s="464"/>
      <c r="C113" s="464"/>
      <c r="D113" s="464"/>
      <c r="E113" s="464"/>
      <c r="F113" s="28" t="s">
        <v>70</v>
      </c>
      <c r="G113" s="28" t="s">
        <v>71</v>
      </c>
      <c r="H113" s="28" t="s">
        <v>72</v>
      </c>
      <c r="I113" s="28" t="s">
        <v>73</v>
      </c>
      <c r="J113" s="28" t="s">
        <v>74</v>
      </c>
      <c r="K113" s="28" t="s">
        <v>75</v>
      </c>
      <c r="L113" s="28" t="s">
        <v>76</v>
      </c>
      <c r="M113" s="28" t="s">
        <v>77</v>
      </c>
      <c r="N113" s="28" t="s">
        <v>71</v>
      </c>
      <c r="O113" s="28" t="s">
        <v>72</v>
      </c>
      <c r="P113" s="28" t="s">
        <v>73</v>
      </c>
      <c r="Q113" s="28" t="s">
        <v>74</v>
      </c>
      <c r="R113" s="28" t="s">
        <v>75</v>
      </c>
      <c r="S113" s="28" t="s">
        <v>76</v>
      </c>
      <c r="T113" s="28" t="s">
        <v>77</v>
      </c>
      <c r="U113" s="28" t="s">
        <v>71</v>
      </c>
      <c r="V113" s="28" t="s">
        <v>72</v>
      </c>
      <c r="W113" s="28" t="s">
        <v>73</v>
      </c>
      <c r="X113" s="28" t="s">
        <v>74</v>
      </c>
      <c r="Y113" s="28" t="s">
        <v>75</v>
      </c>
      <c r="Z113" s="28" t="s">
        <v>76</v>
      </c>
      <c r="AA113" s="28" t="s">
        <v>77</v>
      </c>
      <c r="AB113" s="28" t="s">
        <v>71</v>
      </c>
      <c r="AC113" s="28" t="s">
        <v>72</v>
      </c>
      <c r="AD113" s="28" t="s">
        <v>73</v>
      </c>
      <c r="AE113" s="28" t="s">
        <v>74</v>
      </c>
      <c r="AF113" s="28" t="s">
        <v>75</v>
      </c>
      <c r="AG113" s="28" t="s">
        <v>76</v>
      </c>
      <c r="AH113" s="28" t="s">
        <v>77</v>
      </c>
      <c r="AK113" s="28" t="s">
        <v>71</v>
      </c>
      <c r="AL113" s="28" t="s">
        <v>72</v>
      </c>
      <c r="AM113" s="28" t="s">
        <v>73</v>
      </c>
      <c r="AN113" s="28" t="s">
        <v>74</v>
      </c>
      <c r="AO113" s="28" t="s">
        <v>75</v>
      </c>
      <c r="AP113" s="28" t="s">
        <v>76</v>
      </c>
      <c r="AQ113" s="28" t="s">
        <v>77</v>
      </c>
      <c r="AS113" s="28" t="s">
        <v>78</v>
      </c>
      <c r="AU113" s="28" t="s">
        <v>79</v>
      </c>
      <c r="AW113" s="28" t="s">
        <v>80</v>
      </c>
      <c r="AY113" s="28" t="s">
        <v>81</v>
      </c>
      <c r="BB113" s="28" t="s">
        <v>82</v>
      </c>
      <c r="BE113" s="28" t="s">
        <v>83</v>
      </c>
      <c r="BH113" s="28" t="s">
        <v>84</v>
      </c>
      <c r="BK113" s="28" t="s">
        <v>85</v>
      </c>
      <c r="BL113" s="28" t="s">
        <v>86</v>
      </c>
      <c r="BP113" s="28" t="s">
        <v>87</v>
      </c>
      <c r="BT113" s="28" t="s">
        <v>88</v>
      </c>
      <c r="BY113" s="28" t="s">
        <v>65</v>
      </c>
      <c r="BZ113" s="28" t="s">
        <v>89</v>
      </c>
      <c r="CA113" s="28" t="s">
        <v>58</v>
      </c>
      <c r="CB113" s="28" t="s">
        <v>90</v>
      </c>
      <c r="CC113" s="28" t="s">
        <v>51</v>
      </c>
      <c r="CD113" s="28" t="s">
        <v>53</v>
      </c>
      <c r="CE113" s="28" t="s">
        <v>91</v>
      </c>
    </row>
    <row r="114" spans="1:84" x14ac:dyDescent="0.2">
      <c r="A114" s="27" t="str">
        <f>'1-zapasy'!B91</f>
        <v/>
      </c>
      <c r="B114" s="220" t="str">
        <f>'1-zapasy'!I91</f>
        <v/>
      </c>
      <c r="C114" s="220" t="e">
        <f>'3-zapasy'!#REF!</f>
        <v>#REF!</v>
      </c>
      <c r="D114" s="220" t="str">
        <f>'1-zapasy'!J91</f>
        <v/>
      </c>
      <c r="E114" s="27" t="str">
        <f>'1-zapasy'!C91</f>
        <v/>
      </c>
      <c r="F114" s="28">
        <f>COUNTBLANK('1-zapasy'!I91:'1-zapasy'!J91)</f>
        <v>2</v>
      </c>
      <c r="G114" s="28">
        <f>IF(AND(F114=0,OR($A114=$G112,$E114=$G112)),1,0)</f>
        <v>0</v>
      </c>
      <c r="H114" s="28">
        <f>IF(AND(F114=0,OR(AND($A114=$G112,$B114&gt;$D114),AND($E114=$G112,$D114&gt;$B114))),1,0)</f>
        <v>0</v>
      </c>
      <c r="I114" s="28">
        <f t="shared" ref="I114:I119" si="143">IF(AND(F114=0,G114=1,$B114=$D114),1,0)</f>
        <v>0</v>
      </c>
      <c r="J114" s="28">
        <f>IF(AND(F114=0,OR(AND($A114=$G112,$B114&lt;$D114),AND($E114=$G112,$D114&lt;$B114))),1,0)</f>
        <v>0</v>
      </c>
      <c r="K114" s="28">
        <f>IF(F114&gt;0,0,IF($A114=$G112,$B114,IF($E114=$G112,$D114,0)))</f>
        <v>0</v>
      </c>
      <c r="L114" s="28">
        <f>IF(F114&gt;0,0,IF($A114=$G112,$D114,IF($E114=$G112,$B114,0)))</f>
        <v>0</v>
      </c>
      <c r="M114">
        <f t="shared" ref="M114:M119" si="144">(($H114*$B$10)+$I114)</f>
        <v>0</v>
      </c>
      <c r="N114">
        <f>IF(AND(F114=0,OR($A114=$N112,$E114=$N112)),1,0)</f>
        <v>0</v>
      </c>
      <c r="O114">
        <f>IF(AND(F114=0,OR(AND($A114=$N112,$B114&gt;$D114),AND($E114=$N112,$D114&gt;$B114))),1,0)</f>
        <v>0</v>
      </c>
      <c r="P114">
        <f t="shared" ref="P114:P119" si="145">IF(AND(F114=0,N114=1,$B114=$D114),1,0)</f>
        <v>0</v>
      </c>
      <c r="Q114">
        <f>IF(AND(F114=0,OR(AND($A114=$N112,$B114&lt;$D114),AND($E114=$N112,$D114&lt;$B114))),1,0)</f>
        <v>0</v>
      </c>
      <c r="R114">
        <f>IF(F114&gt;0,0,IF($A114=$N112,$B114,IF($E114=$N112,$D114,0)))</f>
        <v>0</v>
      </c>
      <c r="S114">
        <f>IF(F114&gt;0,0,IF($A114=$N112,$D114,IF($E114=$N112,$B114,0)))</f>
        <v>0</v>
      </c>
      <c r="T114">
        <f t="shared" ref="T114:T119" si="146">(($O114*$B$10)+$P114)</f>
        <v>0</v>
      </c>
      <c r="U114">
        <f>IF(AND(F114=0,OR($A114=$U112,$E114=$U112)),1,0)</f>
        <v>0</v>
      </c>
      <c r="V114">
        <f>IF(AND(F114=0,OR(AND($A114=$U112,$B114&gt;$D114),AND($E114=$U112,$D114&gt;$B114))),1,0)</f>
        <v>0</v>
      </c>
      <c r="W114">
        <f t="shared" ref="W114:W119" si="147">IF(AND(F114=0,U114=1,$B114=$D114),1,0)</f>
        <v>0</v>
      </c>
      <c r="X114">
        <f>IF(AND(F114=0,OR(AND($A114=$U112,$B114&lt;$D114),AND($E114=$U112,$D114&lt;$B114))),1,0)</f>
        <v>0</v>
      </c>
      <c r="Y114">
        <f>IF(F114&gt;0,0,IF($A114=$U112,$B114,IF($E114=$U112,$D114,0)))</f>
        <v>0</v>
      </c>
      <c r="Z114">
        <f>IF(F114&gt;0,0,IF($A114=$U112,$D114,IF($E114=$U112,$B114,0)))</f>
        <v>0</v>
      </c>
      <c r="AA114">
        <f t="shared" ref="AA114:AA119" si="148">(($V114*$B$10)+$W114)</f>
        <v>0</v>
      </c>
      <c r="AB114">
        <f>IF(AND(F114=0,OR($A114=$AB112,$E114=$AB112)),1,0)</f>
        <v>0</v>
      </c>
      <c r="AC114">
        <f>IF(AND(F114=0,OR(AND($A114=$AB112,$B114&gt;$D114),AND($E114=$AB112,$D114&gt;$B114))),1,0)</f>
        <v>0</v>
      </c>
      <c r="AD114">
        <f t="shared" ref="AD114:AD119" si="149">IF(AND(F114=0,AB114=1,$B114=$D114),1,0)</f>
        <v>0</v>
      </c>
      <c r="AE114">
        <f>IF(AND(F114=0,OR(AND($A114=$AB112,$B114&lt;$D114),AND($E114=$AB112,$D114&lt;$B114))),1,0)</f>
        <v>0</v>
      </c>
      <c r="AF114">
        <f>IF(F114&gt;0,0,IF($A114=$AB112,$B114,IF($E114=$AB112,$D114,0)))</f>
        <v>0</v>
      </c>
      <c r="AG114">
        <f>IF(F114&gt;0,0,IF($A114=$AB112,$D114,IF($E114=$AB112,$B114,0)))</f>
        <v>0</v>
      </c>
      <c r="AH114">
        <f t="shared" ref="AH114:AH119" si="150">(($AC114*$B$10)+$AD114)</f>
        <v>0</v>
      </c>
      <c r="AJ114" s="28" t="str">
        <f>G112</f>
        <v/>
      </c>
      <c r="AK114" s="28">
        <f t="shared" ref="AK114:AQ114" si="151">G120</f>
        <v>0</v>
      </c>
      <c r="AL114" s="28">
        <f t="shared" si="151"/>
        <v>0</v>
      </c>
      <c r="AM114" s="28">
        <f t="shared" si="151"/>
        <v>0</v>
      </c>
      <c r="AN114" s="28">
        <f t="shared" si="151"/>
        <v>0</v>
      </c>
      <c r="AO114" s="28">
        <f t="shared" si="151"/>
        <v>0</v>
      </c>
      <c r="AP114" s="28">
        <f t="shared" si="151"/>
        <v>0</v>
      </c>
      <c r="AQ114" s="28">
        <f t="shared" si="151"/>
        <v>0</v>
      </c>
      <c r="AS114" s="28" t="str">
        <f>IF($AQ114&gt;=$AQ115,$AJ114,$AJ115)</f>
        <v/>
      </c>
      <c r="AT114" s="28">
        <f>VLOOKUP(AS114,$AJ114:$AQ117,8,FALSE)</f>
        <v>0</v>
      </c>
      <c r="AU114" s="28" t="str">
        <f>IF($AT114&gt;=$AT116,$AS114,$AS116)</f>
        <v/>
      </c>
      <c r="AV114" s="28">
        <f>VLOOKUP(AU114,$AS114:$AT117,2,FALSE)</f>
        <v>0</v>
      </c>
      <c r="AW114" s="28" t="str">
        <f>IF($AV114&gt;=$AV117,$AU114,$AU117)</f>
        <v/>
      </c>
      <c r="AX114" s="28">
        <f>VLOOKUP(AW114,$AU114:$AV117,2,FALSE)</f>
        <v>0</v>
      </c>
      <c r="AY114" s="28">
        <f>VLOOKUP(AW114,$AJ114:$AQ117,6,FALSE)</f>
        <v>0</v>
      </c>
      <c r="AZ114" s="28">
        <f>VLOOKUP(AW114,$AJ114:$AQ117,7,FALSE)</f>
        <v>0</v>
      </c>
      <c r="BA114" s="28">
        <f>AY114-AZ114</f>
        <v>0</v>
      </c>
      <c r="BB114" s="28" t="str">
        <f>IF(AND($AX114=$AX115,$BA115&gt;$BA114),$AW115,$AW114)</f>
        <v/>
      </c>
      <c r="BC114" s="28">
        <f>VLOOKUP(BB114,$AW114:$BA117,2,FALSE)</f>
        <v>0</v>
      </c>
      <c r="BD114" s="28">
        <f>VLOOKUP(BB114,$AW114:$BA117,5,FALSE)</f>
        <v>0</v>
      </c>
      <c r="BE114" s="28" t="str">
        <f>IF(AND($BC114=$BC116,$BD116&gt;$BD114),$BB116,$BB114)</f>
        <v/>
      </c>
      <c r="BF114" s="28">
        <f>VLOOKUP(BE114,$BB114:$BD117,2,FALSE)</f>
        <v>0</v>
      </c>
      <c r="BG114" s="28">
        <f>VLOOKUP(BE114,$BB114:$BD117,3,FALSE)</f>
        <v>0</v>
      </c>
      <c r="BH114" s="28" t="str">
        <f>IF(AND($BF114=$BF117,$BG117&gt;$BG114),$BE117,$BE114)</f>
        <v/>
      </c>
      <c r="BI114" s="28">
        <f>VLOOKUP(BH114,$BE114:$BG117,2,FALSE)</f>
        <v>0</v>
      </c>
      <c r="BJ114" s="28">
        <f>VLOOKUP(BH114,$BE114:$BG117,3,FALSE)</f>
        <v>0</v>
      </c>
      <c r="BK114" s="28">
        <f>VLOOKUP(BH114,$AJ114:$AQ117,6,FALSE)</f>
        <v>0</v>
      </c>
      <c r="BL114" s="28" t="str">
        <f>IF(AND($BI114=$BI115,$BJ114=$BJ115,$BK115&gt;$BK114),$BH115,$BH114)</f>
        <v/>
      </c>
      <c r="BM114" s="28">
        <f>VLOOKUP(BL114,$BH114:$BK117,2,FALSE)</f>
        <v>0</v>
      </c>
      <c r="BN114" s="28">
        <f>VLOOKUP(BL114,$BH114:$BK117,3,FALSE)</f>
        <v>0</v>
      </c>
      <c r="BO114" s="28">
        <f>VLOOKUP(BL114,$BH114:$BK117,4,FALSE)</f>
        <v>0</v>
      </c>
      <c r="BP114" s="28" t="str">
        <f>IF(AND($BM114=$BM116,$BN114=$BN116,$BO116&gt;$BO114),$BL116,$BL114)</f>
        <v/>
      </c>
      <c r="BQ114" s="28">
        <f>VLOOKUP(BP114,$BL114:$BO117,2,FALSE)</f>
        <v>0</v>
      </c>
      <c r="BR114" s="28">
        <f>VLOOKUP(BP114,$BL114:$BO117,3,FALSE)</f>
        <v>0</v>
      </c>
      <c r="BS114" s="28">
        <f>VLOOKUP(BP114,$BL114:$BO117,4,FALSE)</f>
        <v>0</v>
      </c>
      <c r="BT114" s="28" t="str">
        <f>IF(AND($BQ114=$BQ117,$BR114=$BR117,$BS117&gt;$BS114),$BP117,$BP114)</f>
        <v/>
      </c>
      <c r="BU114" s="28">
        <f>VLOOKUP(BT114,$BP114:$BS117,2,FALSE)</f>
        <v>0</v>
      </c>
      <c r="BV114" s="28">
        <f>VLOOKUP(BT114,$BP114:$BS117,3,FALSE)</f>
        <v>0</v>
      </c>
      <c r="BW114" s="28">
        <f>VLOOKUP(BT114,$BP114:$BS117,4,FALSE)</f>
        <v>0</v>
      </c>
      <c r="BX114" s="28" t="str">
        <f>BT114</f>
        <v/>
      </c>
      <c r="BY114" s="28">
        <f>VLOOKUP($BX114,$AJ114:$AQ117,2,FALSE)</f>
        <v>0</v>
      </c>
      <c r="BZ114" s="28">
        <f>VLOOKUP($BX114,$AJ114:$AQ117,3,FALSE)</f>
        <v>0</v>
      </c>
      <c r="CA114" s="28">
        <f>VLOOKUP($BX114,$AJ114:$AQ117,4,FALSE)</f>
        <v>0</v>
      </c>
      <c r="CB114" s="28">
        <f>VLOOKUP($BX114,$AJ114:$AQ117,5,FALSE)</f>
        <v>0</v>
      </c>
      <c r="CC114" s="28">
        <f>VLOOKUP($BX114,$AJ114:$AQ117,6,FALSE)</f>
        <v>0</v>
      </c>
      <c r="CD114" s="28">
        <f>VLOOKUP($BX114,$AJ114:$AQ117,7,FALSE)</f>
        <v>0</v>
      </c>
      <c r="CE114" s="28">
        <f>VLOOKUP($BX114,$AJ114:$AQ117,8,FALSE)</f>
        <v>0</v>
      </c>
      <c r="CF114" s="128" t="str">
        <f>CONCATENATE(CC114,":",CD114)</f>
        <v>0:0</v>
      </c>
    </row>
    <row r="115" spans="1:84" x14ac:dyDescent="0.2">
      <c r="A115" s="27" t="str">
        <f>'1-zapasy'!B92</f>
        <v/>
      </c>
      <c r="B115" s="220" t="str">
        <f>'1-zapasy'!I92</f>
        <v/>
      </c>
      <c r="C115" s="220" t="e">
        <f>'3-zapasy'!#REF!</f>
        <v>#REF!</v>
      </c>
      <c r="D115" s="220" t="str">
        <f>'1-zapasy'!J92</f>
        <v/>
      </c>
      <c r="E115" s="27" t="str">
        <f>'1-zapasy'!C92</f>
        <v/>
      </c>
      <c r="F115" s="28">
        <f>COUNTBLANK('1-zapasy'!I92:'1-zapasy'!J92)</f>
        <v>2</v>
      </c>
      <c r="G115" s="28">
        <f>IF(AND(F115=0,OR($A115=$G112,$E115=$G112)),1,0)</f>
        <v>0</v>
      </c>
      <c r="H115" s="28">
        <f>IF(AND(F115=0,OR(AND($A115=$G112,$B115&gt;$D115),AND($E115=$G112,$D115&gt;$B115))),1,0)</f>
        <v>0</v>
      </c>
      <c r="I115" s="28">
        <f t="shared" si="143"/>
        <v>0</v>
      </c>
      <c r="J115" s="28">
        <f>IF(AND(F115=0,OR(AND($A115=$G112,$B115&lt;$D115),AND($E115=$G112,$D115&lt;$B115))),1,0)</f>
        <v>0</v>
      </c>
      <c r="K115" s="28">
        <f>IF(F115&gt;0,0,IF($A115=$G112,$B115,IF($E115=$G112,$D115,0)))</f>
        <v>0</v>
      </c>
      <c r="L115" s="28">
        <f>IF(F115&gt;0,0,IF($A115=$G112,$D115,IF($E115=$G112,$B115,0)))</f>
        <v>0</v>
      </c>
      <c r="M115">
        <f t="shared" si="144"/>
        <v>0</v>
      </c>
      <c r="N115">
        <f>IF(AND(F115=0,OR($A115=$N112,$E115=$N112)),1,0)</f>
        <v>0</v>
      </c>
      <c r="O115">
        <f>IF(AND(F115=0,OR(AND($A115=$N112,$B115&gt;$D115),AND($E115=$N112,$D115&gt;$B115))),1,0)</f>
        <v>0</v>
      </c>
      <c r="P115">
        <f t="shared" si="145"/>
        <v>0</v>
      </c>
      <c r="Q115">
        <f>IF(AND(F115=0,OR(AND($A115=$N112,$B115&lt;$D115),AND($E115=$N112,$D115&lt;$B115))),1,0)</f>
        <v>0</v>
      </c>
      <c r="R115">
        <f>IF(F115&gt;0,0,IF($A115=$N112,$B115,IF($E115=$N112,$D115,0)))</f>
        <v>0</v>
      </c>
      <c r="S115">
        <f>IF(F115&gt;0,0,IF($A115=$N112,$D115,IF($E115=$N112,$B115,0)))</f>
        <v>0</v>
      </c>
      <c r="T115">
        <f t="shared" si="146"/>
        <v>0</v>
      </c>
      <c r="U115">
        <f>IF(AND(F115=0,OR($A115=$U112,$E115=$U112)),1,0)</f>
        <v>0</v>
      </c>
      <c r="V115">
        <f>IF(AND(F115=0,OR(AND($A115=$U112,$B115&gt;$D115),AND($E115=$U112,$D115&gt;$B115))),1,0)</f>
        <v>0</v>
      </c>
      <c r="W115">
        <f t="shared" si="147"/>
        <v>0</v>
      </c>
      <c r="X115">
        <f>IF(AND(F115=0,OR(AND($A115=$U112,$B115&lt;$D115),AND($E115=$U112,$D115&lt;$B115))),1,0)</f>
        <v>0</v>
      </c>
      <c r="Y115">
        <f>IF(F115&gt;0,0,IF($A115=$U112,$B115,IF($E115=$U112,$D115,0)))</f>
        <v>0</v>
      </c>
      <c r="Z115">
        <f>IF(F115&gt;0,0,IF($A115=$U112,$D115,IF($E115=$U112,$B115,0)))</f>
        <v>0</v>
      </c>
      <c r="AA115">
        <f t="shared" si="148"/>
        <v>0</v>
      </c>
      <c r="AB115">
        <f>IF(AND(F115=0,OR($A115=$AB112,$E115=$AB112)),1,0)</f>
        <v>0</v>
      </c>
      <c r="AC115">
        <f>IF(AND(F115=0,OR(AND($A115=$AB112,$B115&gt;$D115),AND($E115=$AB112,$D115&gt;$B115))),1,0)</f>
        <v>0</v>
      </c>
      <c r="AD115">
        <f t="shared" si="149"/>
        <v>0</v>
      </c>
      <c r="AE115">
        <f>IF(AND(F115=0,OR(AND($A115=$AB112,$B115&lt;$D115),AND($E115=$AB112,$D115&lt;$B115))),1,0)</f>
        <v>0</v>
      </c>
      <c r="AF115">
        <f>IF(F115&gt;0,0,IF($A115=$AB112,$B115,IF($E115=$AB112,$D115,0)))</f>
        <v>0</v>
      </c>
      <c r="AG115">
        <f>IF(F115&gt;0,0,IF($A115=$AB112,$D115,IF($E115=$AB112,$B115,0)))</f>
        <v>0</v>
      </c>
      <c r="AH115">
        <f t="shared" si="150"/>
        <v>0</v>
      </c>
      <c r="AJ115" s="28" t="str">
        <f>N112</f>
        <v/>
      </c>
      <c r="AK115" s="28">
        <f t="shared" ref="AK115:AQ115" si="152">N120</f>
        <v>0</v>
      </c>
      <c r="AL115" s="28">
        <f t="shared" si="152"/>
        <v>0</v>
      </c>
      <c r="AM115" s="28">
        <f t="shared" si="152"/>
        <v>0</v>
      </c>
      <c r="AN115" s="28">
        <f t="shared" si="152"/>
        <v>0</v>
      </c>
      <c r="AO115" s="28">
        <f t="shared" si="152"/>
        <v>0</v>
      </c>
      <c r="AP115" s="28">
        <f t="shared" si="152"/>
        <v>0</v>
      </c>
      <c r="AQ115" s="28">
        <f t="shared" si="152"/>
        <v>0</v>
      </c>
      <c r="AS115" s="28" t="str">
        <f>IF($AQ115&lt;=$AQ114,$AJ115,$AJ114)</f>
        <v/>
      </c>
      <c r="AT115" s="28">
        <f>VLOOKUP(AS115,$AJ114:$AQ117,8,FALSE)</f>
        <v>0</v>
      </c>
      <c r="AU115" s="28" t="str">
        <f>IF($AT115&gt;=$AT117,$AS115,$AS117)</f>
        <v/>
      </c>
      <c r="AV115" s="28">
        <f>VLOOKUP(AU115,$AS114:$AT117,2,FALSE)</f>
        <v>0</v>
      </c>
      <c r="AW115" s="28" t="str">
        <f>IF($AV115&gt;=$AV116,$AU115,$AU116)</f>
        <v/>
      </c>
      <c r="AX115" s="28">
        <f>VLOOKUP(AW115,$AU114:$AV117,2,FALSE)</f>
        <v>0</v>
      </c>
      <c r="AY115" s="28">
        <f>VLOOKUP(AW115,$AJ114:$AQ117,6,FALSE)</f>
        <v>0</v>
      </c>
      <c r="AZ115" s="28">
        <f>VLOOKUP(AW115,$AJ114:$AQ117,7,FALSE)</f>
        <v>0</v>
      </c>
      <c r="BA115" s="28">
        <f>AY115-AZ115</f>
        <v>0</v>
      </c>
      <c r="BB115" s="28" t="str">
        <f>IF(AND($AX114=$AX115,$BA115&gt;$BA114),$AW114,$AW115)</f>
        <v/>
      </c>
      <c r="BC115" s="28">
        <f>VLOOKUP(BB115,$AW114:$BA117,2,FALSE)</f>
        <v>0</v>
      </c>
      <c r="BD115" s="28">
        <f>VLOOKUP(BB115,$AW114:$BA117,5,FALSE)</f>
        <v>0</v>
      </c>
      <c r="BE115" s="28" t="str">
        <f>IF(AND($BC115=$BC117,$BD117&gt;$BD115),$BB117,$BB115)</f>
        <v/>
      </c>
      <c r="BF115" s="28">
        <f>VLOOKUP(BE115,$BB114:$BD117,2,FALSE)</f>
        <v>0</v>
      </c>
      <c r="BG115" s="28">
        <f>VLOOKUP(BE115,$BB114:$BD117,3,FALSE)</f>
        <v>0</v>
      </c>
      <c r="BH115" s="28" t="str">
        <f>IF(AND($BF115=$BF116,$BG116&gt;$BG115),$BE116,$BE115)</f>
        <v/>
      </c>
      <c r="BI115" s="28">
        <f>VLOOKUP(BH115,$BE114:$BG117,2,FALSE)</f>
        <v>0</v>
      </c>
      <c r="BJ115" s="28">
        <f>VLOOKUP(BH115,$BE114:$BG117,3,FALSE)</f>
        <v>0</v>
      </c>
      <c r="BK115" s="28">
        <f>VLOOKUP(BH115,$AJ114:$AQ117,6,FALSE)</f>
        <v>0</v>
      </c>
      <c r="BL115" s="28" t="str">
        <f>IF(AND($BI114=$BI115,$BJ114=$BJ115,$BK115&gt;$BK114),$BH114,$BH115)</f>
        <v/>
      </c>
      <c r="BM115" s="28">
        <f>VLOOKUP(BL115,$BH114:$BK117,2,FALSE)</f>
        <v>0</v>
      </c>
      <c r="BN115" s="28">
        <f>VLOOKUP(BL115,$BH114:$BK117,3,FALSE)</f>
        <v>0</v>
      </c>
      <c r="BO115" s="28">
        <f>VLOOKUP(BL115,$BH114:$BK117,4,FALSE)</f>
        <v>0</v>
      </c>
      <c r="BP115" s="28" t="str">
        <f>IF(AND($BM115=$BM117,$BN115=$BN117,$BO117&gt;$BO115),$BL117,$BL115)</f>
        <v/>
      </c>
      <c r="BQ115" s="28">
        <f>VLOOKUP(BP115,$BL114:$BO117,2,FALSE)</f>
        <v>0</v>
      </c>
      <c r="BR115" s="28">
        <f>VLOOKUP(BP115,$BL114:$BO117,3,FALSE)</f>
        <v>0</v>
      </c>
      <c r="BS115" s="28">
        <f>VLOOKUP(BP115,$BL114:$BO117,4,FALSE)</f>
        <v>0</v>
      </c>
      <c r="BT115" s="28" t="str">
        <f>IF(AND($BQ115=$BQ116,$BR115=$BR116,$BS116&gt;$BS115),$BP116,$BP115)</f>
        <v/>
      </c>
      <c r="BU115" s="28">
        <f>VLOOKUP(BT115,$BP114:$BS117,2,FALSE)</f>
        <v>0</v>
      </c>
      <c r="BV115" s="28">
        <f>VLOOKUP(BT115,$BP114:$BS117,3,FALSE)</f>
        <v>0</v>
      </c>
      <c r="BW115" s="28">
        <f>VLOOKUP(BT115,$BP114:$BS117,4,FALSE)</f>
        <v>0</v>
      </c>
      <c r="BX115" s="28" t="str">
        <f>BT115</f>
        <v/>
      </c>
      <c r="BY115" s="28">
        <f>VLOOKUP($BX115,$AJ114:$AQ117,2,FALSE)</f>
        <v>0</v>
      </c>
      <c r="BZ115" s="28">
        <f>VLOOKUP($BX115,$AJ114:$AQ117,3,FALSE)</f>
        <v>0</v>
      </c>
      <c r="CA115" s="28">
        <f>VLOOKUP($BX115,$AJ114:$AQ117,4,FALSE)</f>
        <v>0</v>
      </c>
      <c r="CB115" s="28">
        <f>VLOOKUP($BX115,$AJ114:$AQ117,5,FALSE)</f>
        <v>0</v>
      </c>
      <c r="CC115" s="28">
        <f>VLOOKUP($BX115,$AJ114:$AQ117,6,FALSE)</f>
        <v>0</v>
      </c>
      <c r="CD115" s="28">
        <f>VLOOKUP($BX115,$AJ114:$AQ117,7,FALSE)</f>
        <v>0</v>
      </c>
      <c r="CE115" s="28">
        <f>VLOOKUP($BX115,$AJ114:$AQ117,8,FALSE)</f>
        <v>0</v>
      </c>
      <c r="CF115" s="128" t="str">
        <f>CONCATENATE(CC115,":",CD115)</f>
        <v>0:0</v>
      </c>
    </row>
    <row r="116" spans="1:84" x14ac:dyDescent="0.2">
      <c r="A116" s="27" t="str">
        <f>'1-zapasy'!B93</f>
        <v/>
      </c>
      <c r="B116" s="220" t="str">
        <f>'1-zapasy'!I93</f>
        <v/>
      </c>
      <c r="C116" s="220" t="e">
        <f>'3-zapasy'!#REF!</f>
        <v>#REF!</v>
      </c>
      <c r="D116" s="220" t="str">
        <f>'1-zapasy'!J93</f>
        <v/>
      </c>
      <c r="E116" s="27" t="str">
        <f>'1-zapasy'!C93</f>
        <v/>
      </c>
      <c r="F116" s="28">
        <f>COUNTBLANK('1-zapasy'!I93:'1-zapasy'!J93)</f>
        <v>2</v>
      </c>
      <c r="G116" s="28">
        <f>IF(AND(F116=0,OR($A116=$G112,$E116=$G112)),1,0)</f>
        <v>0</v>
      </c>
      <c r="H116" s="28">
        <f>IF(AND(F116=0,OR(AND($A116=$G112,$B116&gt;$D116),AND($E116=$G112,$D116&gt;$B116))),1,0)</f>
        <v>0</v>
      </c>
      <c r="I116" s="28">
        <f t="shared" si="143"/>
        <v>0</v>
      </c>
      <c r="J116" s="28">
        <f>IF(AND(F116=0,OR(AND($A116=$G112,$B116&lt;$D116),AND($E116=$G112,$D116&lt;$B116))),1,0)</f>
        <v>0</v>
      </c>
      <c r="K116" s="28">
        <f>IF(F116&gt;0,0,IF($A116=$G112,$B116,IF($E116=$G112,$D116,0)))</f>
        <v>0</v>
      </c>
      <c r="L116" s="28">
        <f>IF(F116&gt;0,0,IF($A116=$G112,$D116,IF($E116=$G112,$B116,0)))</f>
        <v>0</v>
      </c>
      <c r="M116">
        <f t="shared" si="144"/>
        <v>0</v>
      </c>
      <c r="N116">
        <f>IF(AND(F116=0,OR($A116=$N112,$E116=$N112)),1,0)</f>
        <v>0</v>
      </c>
      <c r="O116">
        <f>IF(AND(F116=0,OR(AND($A116=$N112,$B116&gt;$D116),AND($E116=$N112,$D116&gt;$B116))),1,0)</f>
        <v>0</v>
      </c>
      <c r="P116">
        <f t="shared" si="145"/>
        <v>0</v>
      </c>
      <c r="Q116">
        <f>IF(AND(F116=0,OR(AND($A116=$N112,$B116&lt;$D116),AND($E116=$N112,$D116&lt;$B116))),1,0)</f>
        <v>0</v>
      </c>
      <c r="R116">
        <f>IF(F116&gt;0,0,IF($A116=$N112,$B116,IF($E116=$N112,$D116,0)))</f>
        <v>0</v>
      </c>
      <c r="S116">
        <f>IF(F116&gt;0,0,IF($A116=$N112,$D116,IF($E116=$N112,$B116,0)))</f>
        <v>0</v>
      </c>
      <c r="T116">
        <f t="shared" si="146"/>
        <v>0</v>
      </c>
      <c r="U116">
        <f>IF(AND(F116=0,OR($A116=$U112,$E116=$U112)),1,0)</f>
        <v>0</v>
      </c>
      <c r="V116">
        <f>IF(AND(F116=0,OR(AND($A116=$U112,$B116&gt;$D116),AND($E116=$U112,$D116&gt;$B116))),1,0)</f>
        <v>0</v>
      </c>
      <c r="W116">
        <f t="shared" si="147"/>
        <v>0</v>
      </c>
      <c r="X116">
        <f>IF(AND(F116=0,OR(AND($A116=$U112,$B116&lt;$D116),AND($E116=$U112,$D116&lt;$B116))),1,0)</f>
        <v>0</v>
      </c>
      <c r="Y116">
        <f>IF(F116&gt;0,0,IF($A116=$U112,$B116,IF($E116=$U112,$D116,0)))</f>
        <v>0</v>
      </c>
      <c r="Z116">
        <f>IF(F116&gt;0,0,IF($A116=$U112,$D116,IF($E116=$U112,$B116,0)))</f>
        <v>0</v>
      </c>
      <c r="AA116">
        <f t="shared" si="148"/>
        <v>0</v>
      </c>
      <c r="AB116">
        <f>IF(AND(F116=0,OR($A116=$AB112,$E116=$AB112)),1,0)</f>
        <v>0</v>
      </c>
      <c r="AC116">
        <f>IF(AND(F116=0,OR(AND($A116=$AB112,$B116&gt;$D116),AND($E116=$AB112,$D116&gt;$B116))),1,0)</f>
        <v>0</v>
      </c>
      <c r="AD116">
        <f t="shared" si="149"/>
        <v>0</v>
      </c>
      <c r="AE116">
        <f>IF(AND(F116=0,OR(AND($A116=$AB112,$B116&lt;$D116),AND($E116=$AB112,$D116&lt;$B116))),1,0)</f>
        <v>0</v>
      </c>
      <c r="AF116">
        <f>IF(F116&gt;0,0,IF($A116=$AB112,$B116,IF($E116=$AB112,$D116,0)))</f>
        <v>0</v>
      </c>
      <c r="AG116">
        <f>IF(F116&gt;0,0,IF($A116=$AB112,$D116,IF($E116=$AB112,$B116,0)))</f>
        <v>0</v>
      </c>
      <c r="AH116">
        <f t="shared" si="150"/>
        <v>0</v>
      </c>
      <c r="AJ116" s="28" t="str">
        <f>U112</f>
        <v/>
      </c>
      <c r="AK116" s="28">
        <f t="shared" ref="AK116:AQ116" si="153">U120</f>
        <v>0</v>
      </c>
      <c r="AL116" s="28">
        <f t="shared" si="153"/>
        <v>0</v>
      </c>
      <c r="AM116" s="28">
        <f t="shared" si="153"/>
        <v>0</v>
      </c>
      <c r="AN116" s="28">
        <f t="shared" si="153"/>
        <v>0</v>
      </c>
      <c r="AO116" s="28">
        <f t="shared" si="153"/>
        <v>0</v>
      </c>
      <c r="AP116" s="28">
        <f t="shared" si="153"/>
        <v>0</v>
      </c>
      <c r="AQ116" s="28">
        <f t="shared" si="153"/>
        <v>0</v>
      </c>
      <c r="AS116" s="28" t="str">
        <f>IF($AQ116&gt;=$AQ117,$AJ116,$AJ117)</f>
        <v/>
      </c>
      <c r="AT116" s="28">
        <f>VLOOKUP(AS116,$AJ114:$AQ117,8,FALSE)</f>
        <v>0</v>
      </c>
      <c r="AU116" s="28" t="str">
        <f>IF($AT116&lt;=$AT114,$AS116,$AS114)</f>
        <v/>
      </c>
      <c r="AV116" s="28">
        <f>VLOOKUP(AU116,$AS114:$AT117,2,FALSE)</f>
        <v>0</v>
      </c>
      <c r="AW116" s="28" t="str">
        <f>IF($AV116&lt;=$AV115,$AU116,$AU115)</f>
        <v/>
      </c>
      <c r="AX116" s="28">
        <f>VLOOKUP(AW116,$AU114:$AV117,2,FALSE)</f>
        <v>0</v>
      </c>
      <c r="AY116" s="28">
        <f>VLOOKUP(AW116,$AJ114:$AQ117,6,FALSE)</f>
        <v>0</v>
      </c>
      <c r="AZ116" s="28">
        <f>VLOOKUP(AW116,$AJ114:$AQ117,7,FALSE)</f>
        <v>0</v>
      </c>
      <c r="BA116" s="28">
        <f>AY116-AZ116</f>
        <v>0</v>
      </c>
      <c r="BB116" s="28" t="str">
        <f>IF(AND($AX116=$AX117,$BA117&gt;$BA116),$AW117,$AW116)</f>
        <v/>
      </c>
      <c r="BC116" s="28">
        <f>VLOOKUP(BB116,$AW114:$BA117,2,FALSE)</f>
        <v>0</v>
      </c>
      <c r="BD116" s="28">
        <f>VLOOKUP(BB116,$AW114:$BA117,5,FALSE)</f>
        <v>0</v>
      </c>
      <c r="BE116" s="28" t="str">
        <f>IF(AND($BC114=$BC116,$BD116&gt;$BD114),$BB114,$BB116)</f>
        <v/>
      </c>
      <c r="BF116" s="28">
        <f>VLOOKUP(BE116,$BB114:$BD117,2,FALSE)</f>
        <v>0</v>
      </c>
      <c r="BG116" s="28">
        <f>VLOOKUP(BE116,$BB114:$BD117,3,FALSE)</f>
        <v>0</v>
      </c>
      <c r="BH116" s="28" t="str">
        <f>IF(AND($BF115=$BF116,$BG116&gt;$BG115),$BE115,$BE116)</f>
        <v/>
      </c>
      <c r="BI116" s="28">
        <f>VLOOKUP(BH116,$BE114:$BG117,2,FALSE)</f>
        <v>0</v>
      </c>
      <c r="BJ116" s="28">
        <f>VLOOKUP(BH116,$BE114:$BG117,3,FALSE)</f>
        <v>0</v>
      </c>
      <c r="BK116" s="28">
        <f>VLOOKUP(BH116,$AJ114:$AQ117,6,FALSE)</f>
        <v>0</v>
      </c>
      <c r="BL116" s="28" t="str">
        <f>IF(AND($BI116=$BI117,$BJ116=$BJ117,$BK117&gt;$BK116),$BH117,$BH116)</f>
        <v/>
      </c>
      <c r="BM116" s="28">
        <f>VLOOKUP(BL116,$BH114:$BK117,2,FALSE)</f>
        <v>0</v>
      </c>
      <c r="BN116" s="28">
        <f>VLOOKUP(BL116,$BH114:$BK117,3,FALSE)</f>
        <v>0</v>
      </c>
      <c r="BO116" s="28">
        <f>VLOOKUP(BL116,$BH114:$BK117,4,FALSE)</f>
        <v>0</v>
      </c>
      <c r="BP116" s="28" t="str">
        <f>IF(AND($BM114=$BM116,$BN114=$BN116,$BO116&gt;$BO114),$BL114,$BL116)</f>
        <v/>
      </c>
      <c r="BQ116" s="28">
        <f>VLOOKUP(BP116,$BL114:$BO117,2,FALSE)</f>
        <v>0</v>
      </c>
      <c r="BR116" s="28">
        <f>VLOOKUP(BP116,$BL114:$BO117,3,FALSE)</f>
        <v>0</v>
      </c>
      <c r="BS116" s="28">
        <f>VLOOKUP(BP116,$BL114:$BO117,4,FALSE)</f>
        <v>0</v>
      </c>
      <c r="BT116" s="28" t="str">
        <f>IF(AND($BQ115=$BQ116,$BR115=$BR116,$BS116&gt;$BS115),$BP115,$BP116)</f>
        <v/>
      </c>
      <c r="BU116" s="28">
        <f>VLOOKUP(BT116,$BP114:$BS117,2,FALSE)</f>
        <v>0</v>
      </c>
      <c r="BV116" s="28">
        <f>VLOOKUP(BT116,$BP114:$BS117,3,FALSE)</f>
        <v>0</v>
      </c>
      <c r="BW116" s="28">
        <f>VLOOKUP(BT116,$BP114:$BS117,4,FALSE)</f>
        <v>0</v>
      </c>
      <c r="BX116" s="28" t="str">
        <f>BT116</f>
        <v/>
      </c>
      <c r="BY116" s="28">
        <f>VLOOKUP($BX116,$AJ114:$AQ117,2,FALSE)</f>
        <v>0</v>
      </c>
      <c r="BZ116" s="28">
        <f>VLOOKUP($BX116,$AJ114:$AQ117,3,FALSE)</f>
        <v>0</v>
      </c>
      <c r="CA116" s="28">
        <f>VLOOKUP($BX116,$AJ114:$AQ117,4,FALSE)</f>
        <v>0</v>
      </c>
      <c r="CB116" s="28">
        <f>VLOOKUP($BX116,$AJ114:$AQ117,5,FALSE)</f>
        <v>0</v>
      </c>
      <c r="CC116" s="28">
        <f>VLOOKUP($BX116,$AJ114:$AQ117,6,FALSE)</f>
        <v>0</v>
      </c>
      <c r="CD116" s="28">
        <f>VLOOKUP($BX116,$AJ114:$AQ117,7,FALSE)</f>
        <v>0</v>
      </c>
      <c r="CE116" s="28">
        <f>VLOOKUP($BX116,$AJ114:$AQ117,8,FALSE)</f>
        <v>0</v>
      </c>
      <c r="CF116" s="128" t="str">
        <f>CONCATENATE(CC116,":",CD116)</f>
        <v>0:0</v>
      </c>
    </row>
    <row r="117" spans="1:84" x14ac:dyDescent="0.2">
      <c r="A117" s="27" t="str">
        <f>'1-zapasy'!B94</f>
        <v/>
      </c>
      <c r="B117" s="220" t="str">
        <f>'1-zapasy'!I94</f>
        <v/>
      </c>
      <c r="C117" s="220" t="e">
        <f>'3-zapasy'!#REF!</f>
        <v>#REF!</v>
      </c>
      <c r="D117" s="220" t="str">
        <f>'1-zapasy'!J94</f>
        <v/>
      </c>
      <c r="E117" s="27" t="str">
        <f>'1-zapasy'!C94</f>
        <v/>
      </c>
      <c r="F117" s="28">
        <f>COUNTBLANK('1-zapasy'!I94:'1-zapasy'!J94)</f>
        <v>2</v>
      </c>
      <c r="G117" s="28">
        <f>IF(AND(F117=0,OR($A117=$G112,$E117=$G112)),1,0)</f>
        <v>0</v>
      </c>
      <c r="H117" s="28">
        <f>IF(AND(F117=0,OR(AND($A117=$G112,$B117&gt;$D117),AND($E117=$G112,$D117&gt;$B117))),1,0)</f>
        <v>0</v>
      </c>
      <c r="I117" s="28">
        <f t="shared" si="143"/>
        <v>0</v>
      </c>
      <c r="J117" s="28">
        <f>IF(AND(F117=0,OR(AND($A117=$G112,$B117&lt;$D117),AND($E117=$G112,$D117&lt;$B117))),1,0)</f>
        <v>0</v>
      </c>
      <c r="K117" s="28">
        <f>IF(F117&gt;0,0,IF($A117=$G112,$B117,IF($E117=$G112,$D117,0)))</f>
        <v>0</v>
      </c>
      <c r="L117" s="28">
        <f>IF(F117&gt;0,0,IF($A117=$G112,$D117,IF($E117=$G112,$B117,0)))</f>
        <v>0</v>
      </c>
      <c r="M117">
        <f t="shared" si="144"/>
        <v>0</v>
      </c>
      <c r="N117">
        <f>IF(AND(F117=0,OR($A117=$N112,$E117=$N112)),1,0)</f>
        <v>0</v>
      </c>
      <c r="O117">
        <f>IF(AND(F117=0,OR(AND($A117=$N112,$B117&gt;$D117),AND($E117=$N112,$D117&gt;$B117))),1,0)</f>
        <v>0</v>
      </c>
      <c r="P117">
        <f t="shared" si="145"/>
        <v>0</v>
      </c>
      <c r="Q117">
        <f>IF(AND(F117=0,OR(AND($A117=$N112,$B117&lt;$D117),AND($E117=$N112,$D117&lt;$B117))),1,0)</f>
        <v>0</v>
      </c>
      <c r="R117">
        <f>IF(F117&gt;0,0,IF($A117=$N112,$B117,IF($E117=$N112,$D117,0)))</f>
        <v>0</v>
      </c>
      <c r="S117">
        <f>IF(F117&gt;0,0,IF($A117=$N112,$D117,IF($E117=$N112,$B117,0)))</f>
        <v>0</v>
      </c>
      <c r="T117">
        <f t="shared" si="146"/>
        <v>0</v>
      </c>
      <c r="U117">
        <f>IF(AND(F117=0,OR($A117=$U112,$E117=$U112)),1,0)</f>
        <v>0</v>
      </c>
      <c r="V117">
        <f>IF(AND(F117=0,OR(AND($A117=$U112,$B117&gt;$D117),AND($E117=$U112,$D117&gt;$B117))),1,0)</f>
        <v>0</v>
      </c>
      <c r="W117">
        <f t="shared" si="147"/>
        <v>0</v>
      </c>
      <c r="X117">
        <f>IF(AND(F117=0,OR(AND($A117=$U112,$B117&lt;$D117),AND($E117=$U112,$D117&lt;$B117))),1,0)</f>
        <v>0</v>
      </c>
      <c r="Y117">
        <f>IF(F117&gt;0,0,IF($A117=$U112,$B117,IF($E117=$U112,$D117,0)))</f>
        <v>0</v>
      </c>
      <c r="Z117">
        <f>IF(F117&gt;0,0,IF($A117=$U112,$D117,IF($E117=$U112,$B117,0)))</f>
        <v>0</v>
      </c>
      <c r="AA117">
        <f t="shared" si="148"/>
        <v>0</v>
      </c>
      <c r="AB117">
        <f>IF(AND(F117=0,OR($A117=$AB112,$E117=$AB112)),1,0)</f>
        <v>0</v>
      </c>
      <c r="AC117">
        <f>IF(AND(F117=0,OR(AND($A117=$AB112,$B117&gt;$D117),AND($E117=$AB112,$D117&gt;$B117))),1,0)</f>
        <v>0</v>
      </c>
      <c r="AD117">
        <f t="shared" si="149"/>
        <v>0</v>
      </c>
      <c r="AE117">
        <f>IF(AND(F117=0,OR(AND($A117=$AB112,$B117&lt;$D117),AND($E117=$AB112,$D117&lt;$B117))),1,0)</f>
        <v>0</v>
      </c>
      <c r="AF117">
        <f>IF(F117&gt;0,0,IF($A117=$AB112,$B117,IF($E117=$AB112,$D117,0)))</f>
        <v>0</v>
      </c>
      <c r="AG117">
        <f>IF(F117&gt;0,0,IF($A117=$AB112,$D117,IF($E117=$AB112,$B117,0)))</f>
        <v>0</v>
      </c>
      <c r="AH117">
        <f t="shared" si="150"/>
        <v>0</v>
      </c>
      <c r="AJ117" s="28" t="str">
        <f>AB112</f>
        <v/>
      </c>
      <c r="AK117" s="28">
        <f t="shared" ref="AK117:AQ117" si="154">AB120</f>
        <v>0</v>
      </c>
      <c r="AL117" s="28">
        <f t="shared" si="154"/>
        <v>0</v>
      </c>
      <c r="AM117" s="28">
        <f t="shared" si="154"/>
        <v>0</v>
      </c>
      <c r="AN117" s="28">
        <f t="shared" si="154"/>
        <v>0</v>
      </c>
      <c r="AO117" s="28">
        <f t="shared" si="154"/>
        <v>0</v>
      </c>
      <c r="AP117" s="28">
        <f t="shared" si="154"/>
        <v>0</v>
      </c>
      <c r="AQ117" s="28">
        <f t="shared" si="154"/>
        <v>0</v>
      </c>
      <c r="AS117" s="28" t="str">
        <f>IF($AQ117&lt;=$AQ116,$AJ117,$AJ116)</f>
        <v/>
      </c>
      <c r="AT117" s="28">
        <f>VLOOKUP(AS117,$AJ114:$AQ117,8,FALSE)</f>
        <v>0</v>
      </c>
      <c r="AU117" s="28" t="str">
        <f>IF($AT117&lt;=$AT115,$AS117,$AS115)</f>
        <v/>
      </c>
      <c r="AV117" s="28">
        <f>VLOOKUP(AU117,$AS114:$AT117,2,FALSE)</f>
        <v>0</v>
      </c>
      <c r="AW117" s="28" t="str">
        <f>IF($AV117&lt;=$AV114,$AU117,$AU114)</f>
        <v/>
      </c>
      <c r="AX117" s="28">
        <f>VLOOKUP(AW117,$AU114:$AV117,2,FALSE)</f>
        <v>0</v>
      </c>
      <c r="AY117" s="28">
        <f>VLOOKUP(AW117,$AJ114:$AQ117,6,FALSE)</f>
        <v>0</v>
      </c>
      <c r="AZ117" s="28">
        <f>VLOOKUP(AW117,$AJ114:$AQ117,7,FALSE)</f>
        <v>0</v>
      </c>
      <c r="BA117" s="28">
        <f>AY117-AZ117</f>
        <v>0</v>
      </c>
      <c r="BB117" s="28" t="str">
        <f>IF(AND($AX116=$AX117,$BA117&gt;$BA116),$AW116,$AW117)</f>
        <v/>
      </c>
      <c r="BC117" s="28">
        <f>VLOOKUP(BB117,$AW114:$BA117,2,FALSE)</f>
        <v>0</v>
      </c>
      <c r="BD117" s="28">
        <f>VLOOKUP(BB117,$AW114:$BA117,5,FALSE)</f>
        <v>0</v>
      </c>
      <c r="BE117" s="28" t="str">
        <f>IF(AND($BC115=$BC117,$BD117&gt;$BD115),$BB115,$BB117)</f>
        <v/>
      </c>
      <c r="BF117" s="28">
        <f>VLOOKUP(BE117,$BB114:$BD117,2,FALSE)</f>
        <v>0</v>
      </c>
      <c r="BG117" s="28">
        <f>VLOOKUP(BE117,$BB114:$BD117,3,FALSE)</f>
        <v>0</v>
      </c>
      <c r="BH117" s="28" t="str">
        <f>IF(AND($BF114=$BF117,$BG117&gt;$BG114),$BE114,$BE117)</f>
        <v/>
      </c>
      <c r="BI117" s="28">
        <f>VLOOKUP(BH117,$BE114:$BG117,2,FALSE)</f>
        <v>0</v>
      </c>
      <c r="BJ117" s="28">
        <f>VLOOKUP(BH117,$BE114:$BG117,3,FALSE)</f>
        <v>0</v>
      </c>
      <c r="BK117" s="28">
        <f>VLOOKUP(BH117,$AJ114:$AQ117,6,FALSE)</f>
        <v>0</v>
      </c>
      <c r="BL117" s="28" t="str">
        <f>IF(AND($BI116=$BI117,$BJ116=$BJ117,$BK117&gt;$BK116),$BH116,$BH117)</f>
        <v/>
      </c>
      <c r="BM117" s="28">
        <f>VLOOKUP(BL117,$BH114:$BK117,2,FALSE)</f>
        <v>0</v>
      </c>
      <c r="BN117" s="28">
        <f>VLOOKUP(BL117,$BH114:$BK117,3,FALSE)</f>
        <v>0</v>
      </c>
      <c r="BO117" s="28">
        <f>VLOOKUP(BL117,$BH114:$BK117,4,FALSE)</f>
        <v>0</v>
      </c>
      <c r="BP117" s="28" t="str">
        <f>IF(AND($BM115=$BM117,$BN115=$BN117,$BO117&gt;$BO115),$BL115,$BL117)</f>
        <v/>
      </c>
      <c r="BQ117" s="28">
        <f>VLOOKUP(BP117,$BL114:$BO117,2,FALSE)</f>
        <v>0</v>
      </c>
      <c r="BR117" s="28">
        <f>VLOOKUP(BP117,$BL114:$BO117,3,FALSE)</f>
        <v>0</v>
      </c>
      <c r="BS117" s="28">
        <f>VLOOKUP(BP117,$BL114:$BO117,4,FALSE)</f>
        <v>0</v>
      </c>
      <c r="BT117" s="28" t="str">
        <f>IF(AND($BQ114=$BQ117,$BR114=$BR117,$BS117&gt;$BS114),$BP114,$BP117)</f>
        <v/>
      </c>
      <c r="BU117" s="28">
        <f>VLOOKUP(BT117,$BP114:$BS117,2,FALSE)</f>
        <v>0</v>
      </c>
      <c r="BV117" s="28">
        <f>VLOOKUP(BT117,$BP114:$BS117,3,FALSE)</f>
        <v>0</v>
      </c>
      <c r="BW117" s="28">
        <f>VLOOKUP(BT117,$BP114:$BS117,4,FALSE)</f>
        <v>0</v>
      </c>
      <c r="BX117" s="28" t="str">
        <f>BT117</f>
        <v/>
      </c>
      <c r="BY117" s="28">
        <f>VLOOKUP($BX117,$AJ114:$AQ117,2,FALSE)</f>
        <v>0</v>
      </c>
      <c r="BZ117" s="28">
        <f>VLOOKUP($BX117,$AJ114:$AQ117,3,FALSE)</f>
        <v>0</v>
      </c>
      <c r="CA117" s="28">
        <f>VLOOKUP($BX117,$AJ114:$AQ117,4,FALSE)</f>
        <v>0</v>
      </c>
      <c r="CB117" s="28">
        <f>VLOOKUP($BX117,$AJ114:$AQ117,5,FALSE)</f>
        <v>0</v>
      </c>
      <c r="CC117" s="28">
        <f>VLOOKUP($BX117,$AJ114:$AQ117,6,FALSE)</f>
        <v>0</v>
      </c>
      <c r="CD117" s="28">
        <f>VLOOKUP($BX117,$AJ114:$AQ117,7,FALSE)</f>
        <v>0</v>
      </c>
      <c r="CE117" s="28">
        <f>VLOOKUP($BX117,$AJ114:$AQ117,8,FALSE)</f>
        <v>0</v>
      </c>
      <c r="CF117" s="128" t="str">
        <f>CONCATENATE(CC117,":",CD117)</f>
        <v>0:0</v>
      </c>
    </row>
    <row r="118" spans="1:84" x14ac:dyDescent="0.2">
      <c r="A118" s="27" t="str">
        <f>'1-zapasy'!B95</f>
        <v/>
      </c>
      <c r="B118" s="220" t="str">
        <f>'1-zapasy'!I95</f>
        <v/>
      </c>
      <c r="C118" s="220" t="e">
        <f>'3-zapasy'!#REF!</f>
        <v>#REF!</v>
      </c>
      <c r="D118" s="220" t="str">
        <f>'1-zapasy'!J95</f>
        <v/>
      </c>
      <c r="E118" s="27" t="str">
        <f>'1-zapasy'!C95</f>
        <v/>
      </c>
      <c r="F118" s="28">
        <f>COUNTBLANK('1-zapasy'!I95:'1-zapasy'!J95)</f>
        <v>2</v>
      </c>
      <c r="G118" s="28">
        <f>IF(AND(F118=0,OR($A118=$G112,$E118=$G112)),1,0)</f>
        <v>0</v>
      </c>
      <c r="H118" s="28">
        <f>IF(AND(F118=0,OR(AND($A118=$G112,$B118&gt;$D118),AND($E118=$G112,$D118&gt;$B118))),1,0)</f>
        <v>0</v>
      </c>
      <c r="I118" s="28">
        <f t="shared" si="143"/>
        <v>0</v>
      </c>
      <c r="J118" s="28">
        <f>IF(AND(F118=0,OR(AND($A118=$G112,$B118&lt;$D118),AND($E118=$G112,$D118&lt;$B118))),1,0)</f>
        <v>0</v>
      </c>
      <c r="K118" s="28">
        <f>IF(F118&gt;0,0,IF($A118=$G112,$B118,IF($E118=$G112,$D118,0)))</f>
        <v>0</v>
      </c>
      <c r="L118" s="28">
        <f>IF(F118&gt;0,0,IF($A118=$G112,$D118,IF($E118=$G112,$B118,0)))</f>
        <v>0</v>
      </c>
      <c r="M118">
        <f t="shared" si="144"/>
        <v>0</v>
      </c>
      <c r="N118">
        <f>IF(AND(F118=0,OR($A118=$N112,$E118=$N112)),1,0)</f>
        <v>0</v>
      </c>
      <c r="O118">
        <f>IF(AND(F118=0,OR(AND($A118=$N112,$B118&gt;$D118),AND($E118=$N112,$D118&gt;$B118))),1,0)</f>
        <v>0</v>
      </c>
      <c r="P118">
        <f t="shared" si="145"/>
        <v>0</v>
      </c>
      <c r="Q118">
        <f>IF(AND(F118=0,OR(AND($A118=$N112,$B118&lt;$D118),AND($E118=$N112,$D118&lt;$B118))),1,0)</f>
        <v>0</v>
      </c>
      <c r="R118">
        <f>IF(F118&gt;0,0,IF($A118=$N112,$B118,IF($E118=$N112,$D118,0)))</f>
        <v>0</v>
      </c>
      <c r="S118">
        <f>IF(F118&gt;0,0,IF($A118=$N112,$D118,IF($E118=$N112,$B118,0)))</f>
        <v>0</v>
      </c>
      <c r="T118">
        <f t="shared" si="146"/>
        <v>0</v>
      </c>
      <c r="U118">
        <f>IF(AND(F118=0,OR($A118=$U112,$E118=$U112)),1,0)</f>
        <v>0</v>
      </c>
      <c r="V118">
        <f>IF(AND(F118=0,OR(AND($A118=$U112,$B118&gt;$D118),AND($E118=$U112,$D118&gt;$B118))),1,0)</f>
        <v>0</v>
      </c>
      <c r="W118">
        <f t="shared" si="147"/>
        <v>0</v>
      </c>
      <c r="X118">
        <f>IF(AND(F118=0,OR(AND($A118=$U112,$B118&lt;$D118),AND($E118=$U112,$D118&lt;$B118))),1,0)</f>
        <v>0</v>
      </c>
      <c r="Y118">
        <f>IF(F118&gt;0,0,IF($A118=$U112,$B118,IF($E118=$U112,$D118,0)))</f>
        <v>0</v>
      </c>
      <c r="Z118">
        <f>IF(F118&gt;0,0,IF($A118=$U112,$D118,IF($E118=$U112,$B118,0)))</f>
        <v>0</v>
      </c>
      <c r="AA118">
        <f t="shared" si="148"/>
        <v>0</v>
      </c>
      <c r="AB118">
        <f>IF(AND(F118=0,OR($A118=$AB112,$E118=$AB112)),1,0)</f>
        <v>0</v>
      </c>
      <c r="AC118">
        <f>IF(AND(F118=0,OR(AND($A118=$AB112,$B118&gt;$D118),AND($E118=$AB112,$D118&gt;$B118))),1,0)</f>
        <v>0</v>
      </c>
      <c r="AD118">
        <f t="shared" si="149"/>
        <v>0</v>
      </c>
      <c r="AE118">
        <f>IF(AND(F118=0,OR(AND($A118=$AB112,$B118&lt;$D118),AND($E118=$AB112,$D118&lt;$B118))),1,0)</f>
        <v>0</v>
      </c>
      <c r="AF118">
        <f>IF(F118&gt;0,0,IF($A118=$AB112,$B118,IF($E118=$AB112,$D118,0)))</f>
        <v>0</v>
      </c>
      <c r="AG118">
        <f>IF(F118&gt;0,0,IF($A118=$AB112,$D118,IF($E118=$AB112,$B118,0)))</f>
        <v>0</v>
      </c>
      <c r="AH118">
        <f t="shared" si="150"/>
        <v>0</v>
      </c>
    </row>
    <row r="119" spans="1:84" x14ac:dyDescent="0.2">
      <c r="A119" s="27" t="str">
        <f>'1-zapasy'!B96</f>
        <v/>
      </c>
      <c r="B119" s="220" t="str">
        <f>'1-zapasy'!I96</f>
        <v/>
      </c>
      <c r="C119" s="220" t="e">
        <f>'3-zapasy'!#REF!</f>
        <v>#REF!</v>
      </c>
      <c r="D119" s="220" t="str">
        <f>'1-zapasy'!J96</f>
        <v/>
      </c>
      <c r="E119" s="27" t="str">
        <f>'1-zapasy'!C96</f>
        <v/>
      </c>
      <c r="F119" s="28">
        <f>COUNTBLANK('1-zapasy'!I96:'1-zapasy'!J96)</f>
        <v>2</v>
      </c>
      <c r="G119" s="28">
        <f>IF(AND(F119=0,OR($A119=$G112,$E119=$G112)),1,0)</f>
        <v>0</v>
      </c>
      <c r="H119" s="28">
        <f>IF(AND(F119=0,OR(AND($A119=$G112,$B119&gt;$D119),AND($E119=$G112,$D119&gt;$B119))),1,0)</f>
        <v>0</v>
      </c>
      <c r="I119" s="28">
        <f t="shared" si="143"/>
        <v>0</v>
      </c>
      <c r="J119" s="28">
        <f>IF(AND(F119=0,OR(AND($A119=$G112,$B119&lt;$D119),AND($E119=$G112,$D119&lt;$B119))),1,0)</f>
        <v>0</v>
      </c>
      <c r="K119" s="28">
        <f>IF(F119&gt;0,0,IF($A119=$G112,$B119,IF($E119=$G112,$D119,0)))</f>
        <v>0</v>
      </c>
      <c r="L119" s="28">
        <f>IF(F119&gt;0,0,IF($A119=$G112,$D119,IF($E119=$G112,$B119,0)))</f>
        <v>0</v>
      </c>
      <c r="M119">
        <f t="shared" si="144"/>
        <v>0</v>
      </c>
      <c r="N119">
        <f>IF(AND(F119=0,OR($A119=$N112,$E119=$N112)),1,0)</f>
        <v>0</v>
      </c>
      <c r="O119">
        <f>IF(AND(F119=0,OR(AND($A119=$N112,$B119&gt;$D119),AND($E119=$N112,$D119&gt;$B119))),1,0)</f>
        <v>0</v>
      </c>
      <c r="P119">
        <f t="shared" si="145"/>
        <v>0</v>
      </c>
      <c r="Q119">
        <f>IF(AND(F119=0,OR(AND($A119=$N112,$B119&lt;$D119),AND($E119=$N112,$D119&lt;$B119))),1,0)</f>
        <v>0</v>
      </c>
      <c r="R119">
        <f>IF(F119&gt;0,0,IF($A119=$N112,$B119,IF($E119=$N112,$D119,0)))</f>
        <v>0</v>
      </c>
      <c r="S119">
        <f>IF(F119&gt;0,0,IF($A119=$N112,$D119,IF($E119=$N112,$B119,0)))</f>
        <v>0</v>
      </c>
      <c r="T119">
        <f t="shared" si="146"/>
        <v>0</v>
      </c>
      <c r="U119">
        <f>IF(AND(F119=0,OR($A119=$U112,$E119=$U112)),1,0)</f>
        <v>0</v>
      </c>
      <c r="V119">
        <f>IF(AND(F119=0,OR(AND($A119=$U112,$B119&gt;$D119),AND($E119=$U112,$D119&gt;$B119))),1,0)</f>
        <v>0</v>
      </c>
      <c r="W119">
        <f t="shared" si="147"/>
        <v>0</v>
      </c>
      <c r="X119">
        <f>IF(AND(F119=0,OR(AND($A119=$U112,$B119&lt;$D119),AND($E119=$U112,$D119&lt;$B119))),1,0)</f>
        <v>0</v>
      </c>
      <c r="Y119">
        <f>IF(F119&gt;0,0,IF($A119=$U112,$B119,IF($E119=$U112,$D119,0)))</f>
        <v>0</v>
      </c>
      <c r="Z119">
        <f>IF(F119&gt;0,0,IF($A119=$U112,$D119,IF($E119=$U112,$B119,0)))</f>
        <v>0</v>
      </c>
      <c r="AA119">
        <f t="shared" si="148"/>
        <v>0</v>
      </c>
      <c r="AB119">
        <f>IF(AND(F119=0,OR($A119=$AB112,$E119=$AB112)),1,0)</f>
        <v>0</v>
      </c>
      <c r="AC119">
        <f>IF(AND(F119=0,OR(AND($A119=$AB112,$B119&gt;$D119),AND($E119=$AB112,$D119&gt;$B119))),1,0)</f>
        <v>0</v>
      </c>
      <c r="AD119">
        <f t="shared" si="149"/>
        <v>0</v>
      </c>
      <c r="AE119">
        <f>IF(AND(F119=0,OR(AND($A119=$AB112,$B119&lt;$D119),AND($E119=$AB112,$D119&lt;$B119))),1,0)</f>
        <v>0</v>
      </c>
      <c r="AF119">
        <f>IF(F119&gt;0,0,IF($A119=$AB112,$B119,IF($E119=$AB112,$D119,0)))</f>
        <v>0</v>
      </c>
      <c r="AG119">
        <f>IF(F119&gt;0,0,IF($A119=$AB112,$D119,IF($E119=$AB112,$B119,0)))</f>
        <v>0</v>
      </c>
      <c r="AH119">
        <f t="shared" si="150"/>
        <v>0</v>
      </c>
    </row>
    <row r="120" spans="1:84" x14ac:dyDescent="0.2">
      <c r="G120" s="28">
        <f t="shared" ref="G120:AH120" si="155">SUM(G114:G119)</f>
        <v>0</v>
      </c>
      <c r="H120" s="28">
        <f t="shared" si="155"/>
        <v>0</v>
      </c>
      <c r="I120" s="28">
        <f t="shared" si="155"/>
        <v>0</v>
      </c>
      <c r="J120" s="28">
        <f t="shared" si="155"/>
        <v>0</v>
      </c>
      <c r="K120" s="28">
        <f t="shared" si="155"/>
        <v>0</v>
      </c>
      <c r="L120" s="28">
        <f t="shared" si="155"/>
        <v>0</v>
      </c>
      <c r="M120">
        <f t="shared" si="155"/>
        <v>0</v>
      </c>
      <c r="N120">
        <f t="shared" si="155"/>
        <v>0</v>
      </c>
      <c r="O120">
        <f t="shared" si="155"/>
        <v>0</v>
      </c>
      <c r="P120">
        <f t="shared" si="155"/>
        <v>0</v>
      </c>
      <c r="Q120">
        <f t="shared" si="155"/>
        <v>0</v>
      </c>
      <c r="R120">
        <f t="shared" si="155"/>
        <v>0</v>
      </c>
      <c r="S120">
        <f t="shared" si="155"/>
        <v>0</v>
      </c>
      <c r="T120">
        <f t="shared" si="155"/>
        <v>0</v>
      </c>
      <c r="U120">
        <f t="shared" si="155"/>
        <v>0</v>
      </c>
      <c r="V120">
        <f t="shared" si="155"/>
        <v>0</v>
      </c>
      <c r="W120">
        <f t="shared" si="155"/>
        <v>0</v>
      </c>
      <c r="X120">
        <f t="shared" si="155"/>
        <v>0</v>
      </c>
      <c r="Y120">
        <f t="shared" si="155"/>
        <v>0</v>
      </c>
      <c r="Z120">
        <f t="shared" si="155"/>
        <v>0</v>
      </c>
      <c r="AA120">
        <f t="shared" si="155"/>
        <v>0</v>
      </c>
      <c r="AB120">
        <f t="shared" si="155"/>
        <v>0</v>
      </c>
      <c r="AC120">
        <f t="shared" si="155"/>
        <v>0</v>
      </c>
      <c r="AD120">
        <f t="shared" si="155"/>
        <v>0</v>
      </c>
      <c r="AE120">
        <f t="shared" si="155"/>
        <v>0</v>
      </c>
      <c r="AF120">
        <f t="shared" si="155"/>
        <v>0</v>
      </c>
      <c r="AG120">
        <f t="shared" si="155"/>
        <v>0</v>
      </c>
      <c r="AH120">
        <f t="shared" si="155"/>
        <v>0</v>
      </c>
    </row>
    <row r="122" spans="1:84" x14ac:dyDescent="0.2">
      <c r="A122" s="463" t="str">
        <f>'1-zapasy'!A97</f>
        <v>skupina B7</v>
      </c>
      <c r="B122" s="464"/>
      <c r="C122" s="464"/>
      <c r="D122" s="464"/>
      <c r="E122" s="464"/>
      <c r="F122" s="28" t="s">
        <v>67</v>
      </c>
      <c r="G122" s="465" t="str">
        <f>A124</f>
        <v/>
      </c>
      <c r="H122" s="465"/>
      <c r="I122" s="465"/>
      <c r="J122" s="465"/>
      <c r="K122" s="465"/>
      <c r="L122" s="465"/>
      <c r="M122" s="465"/>
      <c r="N122" s="465" t="str">
        <f>E124</f>
        <v/>
      </c>
      <c r="O122" s="465"/>
      <c r="P122" s="465"/>
      <c r="Q122" s="465"/>
      <c r="R122" s="465"/>
      <c r="S122" s="465"/>
      <c r="T122" s="465"/>
      <c r="U122" s="465" t="str">
        <f>A125</f>
        <v/>
      </c>
      <c r="V122" s="465"/>
      <c r="W122" s="465"/>
      <c r="X122" s="465"/>
      <c r="Y122" s="465"/>
      <c r="Z122" s="465"/>
      <c r="AA122" s="465"/>
      <c r="AB122" s="465" t="str">
        <f>E125</f>
        <v/>
      </c>
      <c r="AC122" s="465"/>
      <c r="AD122" s="465"/>
      <c r="AE122" s="465"/>
      <c r="AF122" s="465"/>
      <c r="AG122" s="465"/>
      <c r="AH122" s="465"/>
      <c r="AJ122" s="465" t="s">
        <v>68</v>
      </c>
      <c r="AK122" s="465"/>
      <c r="AL122" s="465"/>
      <c r="AM122" s="465"/>
      <c r="AN122" s="465"/>
      <c r="AO122" s="465"/>
      <c r="AP122" s="465"/>
      <c r="AQ122" s="465"/>
      <c r="BX122" s="28" t="s">
        <v>69</v>
      </c>
    </row>
    <row r="123" spans="1:84" x14ac:dyDescent="0.2">
      <c r="A123" s="464"/>
      <c r="B123" s="464"/>
      <c r="C123" s="464"/>
      <c r="D123" s="464"/>
      <c r="E123" s="464"/>
      <c r="F123" s="28" t="s">
        <v>70</v>
      </c>
      <c r="G123" s="28" t="s">
        <v>71</v>
      </c>
      <c r="H123" s="28" t="s">
        <v>72</v>
      </c>
      <c r="I123" s="28" t="s">
        <v>73</v>
      </c>
      <c r="J123" s="28" t="s">
        <v>74</v>
      </c>
      <c r="K123" s="28" t="s">
        <v>75</v>
      </c>
      <c r="L123" s="28" t="s">
        <v>76</v>
      </c>
      <c r="M123" s="28" t="s">
        <v>77</v>
      </c>
      <c r="N123" s="28" t="s">
        <v>71</v>
      </c>
      <c r="O123" s="28" t="s">
        <v>72</v>
      </c>
      <c r="P123" s="28" t="s">
        <v>73</v>
      </c>
      <c r="Q123" s="28" t="s">
        <v>74</v>
      </c>
      <c r="R123" s="28" t="s">
        <v>75</v>
      </c>
      <c r="S123" s="28" t="s">
        <v>76</v>
      </c>
      <c r="T123" s="28" t="s">
        <v>77</v>
      </c>
      <c r="U123" s="28" t="s">
        <v>71</v>
      </c>
      <c r="V123" s="28" t="s">
        <v>72</v>
      </c>
      <c r="W123" s="28" t="s">
        <v>73</v>
      </c>
      <c r="X123" s="28" t="s">
        <v>74</v>
      </c>
      <c r="Y123" s="28" t="s">
        <v>75</v>
      </c>
      <c r="Z123" s="28" t="s">
        <v>76</v>
      </c>
      <c r="AA123" s="28" t="s">
        <v>77</v>
      </c>
      <c r="AB123" s="28" t="s">
        <v>71</v>
      </c>
      <c r="AC123" s="28" t="s">
        <v>72</v>
      </c>
      <c r="AD123" s="28" t="s">
        <v>73</v>
      </c>
      <c r="AE123" s="28" t="s">
        <v>74</v>
      </c>
      <c r="AF123" s="28" t="s">
        <v>75</v>
      </c>
      <c r="AG123" s="28" t="s">
        <v>76</v>
      </c>
      <c r="AH123" s="28" t="s">
        <v>77</v>
      </c>
      <c r="AK123" s="28" t="s">
        <v>71</v>
      </c>
      <c r="AL123" s="28" t="s">
        <v>72</v>
      </c>
      <c r="AM123" s="28" t="s">
        <v>73</v>
      </c>
      <c r="AN123" s="28" t="s">
        <v>74</v>
      </c>
      <c r="AO123" s="28" t="s">
        <v>75</v>
      </c>
      <c r="AP123" s="28" t="s">
        <v>76</v>
      </c>
      <c r="AQ123" s="28" t="s">
        <v>77</v>
      </c>
      <c r="AS123" s="28" t="s">
        <v>78</v>
      </c>
      <c r="AU123" s="28" t="s">
        <v>79</v>
      </c>
      <c r="AW123" s="28" t="s">
        <v>80</v>
      </c>
      <c r="AY123" s="28" t="s">
        <v>81</v>
      </c>
      <c r="BB123" s="28" t="s">
        <v>82</v>
      </c>
      <c r="BE123" s="28" t="s">
        <v>83</v>
      </c>
      <c r="BH123" s="28" t="s">
        <v>84</v>
      </c>
      <c r="BK123" s="28" t="s">
        <v>85</v>
      </c>
      <c r="BL123" s="28" t="s">
        <v>86</v>
      </c>
      <c r="BP123" s="28" t="s">
        <v>87</v>
      </c>
      <c r="BT123" s="28" t="s">
        <v>88</v>
      </c>
      <c r="BY123" s="28" t="s">
        <v>65</v>
      </c>
      <c r="BZ123" s="28" t="s">
        <v>89</v>
      </c>
      <c r="CA123" s="28" t="s">
        <v>58</v>
      </c>
      <c r="CB123" s="28" t="s">
        <v>90</v>
      </c>
      <c r="CC123" s="28" t="s">
        <v>51</v>
      </c>
      <c r="CD123" s="28" t="s">
        <v>53</v>
      </c>
      <c r="CE123" s="28" t="s">
        <v>91</v>
      </c>
    </row>
    <row r="124" spans="1:84" x14ac:dyDescent="0.2">
      <c r="A124" s="27" t="str">
        <f>'1-zapasy'!B99</f>
        <v/>
      </c>
      <c r="B124" s="220" t="str">
        <f>'1-zapasy'!I99</f>
        <v/>
      </c>
      <c r="C124" s="220" t="e">
        <f>'3-zapasy'!#REF!</f>
        <v>#REF!</v>
      </c>
      <c r="D124" s="220" t="str">
        <f>'1-zapasy'!J99</f>
        <v/>
      </c>
      <c r="E124" s="27" t="str">
        <f>'1-zapasy'!C99</f>
        <v/>
      </c>
      <c r="F124" s="28">
        <f>COUNTBLANK('1-zapasy'!I99:'1-zapasy'!J99)</f>
        <v>2</v>
      </c>
      <c r="G124" s="28">
        <f>IF(AND(F124=0,OR($A124=$G122,$E124=$G122)),1,0)</f>
        <v>0</v>
      </c>
      <c r="H124" s="28">
        <f>IF(AND(F124=0,OR(AND($A124=$G122,$B124&gt;$D124),AND($E124=$G122,$D124&gt;$B124))),1,0)</f>
        <v>0</v>
      </c>
      <c r="I124" s="28">
        <f t="shared" ref="I124:I129" si="156">IF(AND(F124=0,G124=1,$B124=$D124),1,0)</f>
        <v>0</v>
      </c>
      <c r="J124" s="28">
        <f>IF(AND(F124=0,OR(AND($A124=$G122,$B124&lt;$D124),AND($E124=$G122,$D124&lt;$B124))),1,0)</f>
        <v>0</v>
      </c>
      <c r="K124" s="28">
        <f>IF(F124&gt;0,0,IF($A124=$G122,$B124,IF($E124=$G122,$D124,0)))</f>
        <v>0</v>
      </c>
      <c r="L124" s="28">
        <f>IF(F124&gt;0,0,IF($A124=$G122,$D124,IF($E124=$G122,$B124,0)))</f>
        <v>0</v>
      </c>
      <c r="M124">
        <f t="shared" ref="M124:M129" si="157">(($H124*$B$10)+$I124)</f>
        <v>0</v>
      </c>
      <c r="N124">
        <f>IF(AND(F124=0,OR($A124=$N122,$E124=$N122)),1,0)</f>
        <v>0</v>
      </c>
      <c r="O124">
        <f>IF(AND(F124=0,OR(AND($A124=$N122,$B124&gt;$D124),AND($E124=$N122,$D124&gt;$B124))),1,0)</f>
        <v>0</v>
      </c>
      <c r="P124">
        <f t="shared" ref="P124:P129" si="158">IF(AND(F124=0,N124=1,$B124=$D124),1,0)</f>
        <v>0</v>
      </c>
      <c r="Q124">
        <f>IF(AND(F124=0,OR(AND($A124=$N122,$B124&lt;$D124),AND($E124=$N122,$D124&lt;$B124))),1,0)</f>
        <v>0</v>
      </c>
      <c r="R124">
        <f>IF(F124&gt;0,0,IF($A124=$N122,$B124,IF($E124=$N122,$D124,0)))</f>
        <v>0</v>
      </c>
      <c r="S124">
        <f>IF(F124&gt;0,0,IF($A124=$N122,$D124,IF($E124=$N122,$B124,0)))</f>
        <v>0</v>
      </c>
      <c r="T124">
        <f t="shared" ref="T124:T129" si="159">(($O124*$B$10)+$P124)</f>
        <v>0</v>
      </c>
      <c r="U124">
        <f>IF(AND(F124=0,OR($A124=$U122,$E124=$U122)),1,0)</f>
        <v>0</v>
      </c>
      <c r="V124">
        <f>IF(AND(F124=0,OR(AND($A124=$U122,$B124&gt;$D124),AND($E124=$U122,$D124&gt;$B124))),1,0)</f>
        <v>0</v>
      </c>
      <c r="W124">
        <f t="shared" ref="W124:W129" si="160">IF(AND(F124=0,U124=1,$B124=$D124),1,0)</f>
        <v>0</v>
      </c>
      <c r="X124">
        <f>IF(AND(F124=0,OR(AND($A124=$U122,$B124&lt;$D124),AND($E124=$U122,$D124&lt;$B124))),1,0)</f>
        <v>0</v>
      </c>
      <c r="Y124">
        <f>IF(F124&gt;0,0,IF($A124=$U122,$B124,IF($E124=$U122,$D124,0)))</f>
        <v>0</v>
      </c>
      <c r="Z124">
        <f>IF(F124&gt;0,0,IF($A124=$U122,$D124,IF($E124=$U122,$B124,0)))</f>
        <v>0</v>
      </c>
      <c r="AA124">
        <f t="shared" ref="AA124:AA129" si="161">(($V124*$B$10)+$W124)</f>
        <v>0</v>
      </c>
      <c r="AB124">
        <f>IF(AND(F124=0,OR($A124=$AB122,$E124=$AB122)),1,0)</f>
        <v>0</v>
      </c>
      <c r="AC124">
        <f>IF(AND(F124=0,OR(AND($A124=$AB122,$B124&gt;$D124),AND($E124=$AB122,$D124&gt;$B124))),1,0)</f>
        <v>0</v>
      </c>
      <c r="AD124">
        <f t="shared" ref="AD124:AD129" si="162">IF(AND(F124=0,AB124=1,$B124=$D124),1,0)</f>
        <v>0</v>
      </c>
      <c r="AE124">
        <f>IF(AND(F124=0,OR(AND($A124=$AB122,$B124&lt;$D124),AND($E124=$AB122,$D124&lt;$B124))),1,0)</f>
        <v>0</v>
      </c>
      <c r="AF124">
        <f>IF(F124&gt;0,0,IF($A124=$AB122,$B124,IF($E124=$AB122,$D124,0)))</f>
        <v>0</v>
      </c>
      <c r="AG124">
        <f>IF(F124&gt;0,0,IF($A124=$AB122,$D124,IF($E124=$AB122,$B124,0)))</f>
        <v>0</v>
      </c>
      <c r="AH124">
        <f t="shared" ref="AH124:AH129" si="163">(($AC124*$B$10)+$AD124)</f>
        <v>0</v>
      </c>
      <c r="AJ124" s="28" t="str">
        <f>G122</f>
        <v/>
      </c>
      <c r="AK124" s="28">
        <f t="shared" ref="AK124:AQ124" si="164">G130</f>
        <v>0</v>
      </c>
      <c r="AL124" s="28">
        <f t="shared" si="164"/>
        <v>0</v>
      </c>
      <c r="AM124" s="28">
        <f t="shared" si="164"/>
        <v>0</v>
      </c>
      <c r="AN124" s="28">
        <f t="shared" si="164"/>
        <v>0</v>
      </c>
      <c r="AO124" s="28">
        <f t="shared" si="164"/>
        <v>0</v>
      </c>
      <c r="AP124" s="28">
        <f t="shared" si="164"/>
        <v>0</v>
      </c>
      <c r="AQ124" s="28">
        <f t="shared" si="164"/>
        <v>0</v>
      </c>
      <c r="AS124" s="28" t="str">
        <f>IF($AQ124&gt;=$AQ125,$AJ124,$AJ125)</f>
        <v/>
      </c>
      <c r="AT124" s="28">
        <f>VLOOKUP(AS124,$AJ124:$AQ127,8,FALSE)</f>
        <v>0</v>
      </c>
      <c r="AU124" s="28" t="str">
        <f>IF($AT124&gt;=$AT126,$AS124,$AS126)</f>
        <v/>
      </c>
      <c r="AV124" s="28">
        <f>VLOOKUP(AU124,$AS124:$AT127,2,FALSE)</f>
        <v>0</v>
      </c>
      <c r="AW124" s="28" t="str">
        <f>IF($AV124&gt;=$AV127,$AU124,$AU127)</f>
        <v/>
      </c>
      <c r="AX124" s="28">
        <f>VLOOKUP(AW124,$AU124:$AV127,2,FALSE)</f>
        <v>0</v>
      </c>
      <c r="AY124" s="28">
        <f>VLOOKUP(AW124,$AJ124:$AQ127,6,FALSE)</f>
        <v>0</v>
      </c>
      <c r="AZ124" s="28">
        <f>VLOOKUP(AW124,$AJ124:$AQ127,7,FALSE)</f>
        <v>0</v>
      </c>
      <c r="BA124" s="28">
        <f>AY124-AZ124</f>
        <v>0</v>
      </c>
      <c r="BB124" s="28" t="str">
        <f>IF(AND($AX124=$AX125,$BA125&gt;$BA124),$AW125,$AW124)</f>
        <v/>
      </c>
      <c r="BC124" s="28">
        <f>VLOOKUP(BB124,$AW124:$BA127,2,FALSE)</f>
        <v>0</v>
      </c>
      <c r="BD124" s="28">
        <f>VLOOKUP(BB124,$AW124:$BA127,5,FALSE)</f>
        <v>0</v>
      </c>
      <c r="BE124" s="28" t="str">
        <f>IF(AND($BC124=$BC126,$BD126&gt;$BD124),$BB126,$BB124)</f>
        <v/>
      </c>
      <c r="BF124" s="28">
        <f>VLOOKUP(BE124,$BB124:$BD127,2,FALSE)</f>
        <v>0</v>
      </c>
      <c r="BG124" s="28">
        <f>VLOOKUP(BE124,$BB124:$BD127,3,FALSE)</f>
        <v>0</v>
      </c>
      <c r="BH124" s="28" t="str">
        <f>IF(AND($BF124=$BF127,$BG127&gt;$BG124),$BE127,$BE124)</f>
        <v/>
      </c>
      <c r="BI124" s="28">
        <f>VLOOKUP(BH124,$BE124:$BG127,2,FALSE)</f>
        <v>0</v>
      </c>
      <c r="BJ124" s="28">
        <f>VLOOKUP(BH124,$BE124:$BG127,3,FALSE)</f>
        <v>0</v>
      </c>
      <c r="BK124" s="28">
        <f>VLOOKUP(BH124,$AJ124:$AQ127,6,FALSE)</f>
        <v>0</v>
      </c>
      <c r="BL124" s="28" t="str">
        <f>IF(AND($BI124=$BI125,$BJ124=$BJ125,$BK125&gt;$BK124),$BH125,$BH124)</f>
        <v/>
      </c>
      <c r="BM124" s="28">
        <f>VLOOKUP(BL124,$BH124:$BK127,2,FALSE)</f>
        <v>0</v>
      </c>
      <c r="BN124" s="28">
        <f>VLOOKUP(BL124,$BH124:$BK127,3,FALSE)</f>
        <v>0</v>
      </c>
      <c r="BO124" s="28">
        <f>VLOOKUP(BL124,$BH124:$BK127,4,FALSE)</f>
        <v>0</v>
      </c>
      <c r="BP124" s="28" t="str">
        <f>IF(AND($BM124=$BM126,$BN124=$BN126,$BO126&gt;$BO124),$BL126,$BL124)</f>
        <v/>
      </c>
      <c r="BQ124" s="28">
        <f>VLOOKUP(BP124,$BL124:$BO127,2,FALSE)</f>
        <v>0</v>
      </c>
      <c r="BR124" s="28">
        <f>VLOOKUP(BP124,$BL124:$BO127,3,FALSE)</f>
        <v>0</v>
      </c>
      <c r="BS124" s="28">
        <f>VLOOKUP(BP124,$BL124:$BO127,4,FALSE)</f>
        <v>0</v>
      </c>
      <c r="BT124" s="28" t="str">
        <f>IF(AND($BQ124=$BQ127,$BR124=$BR127,$BS127&gt;$BS124),$BP127,$BP124)</f>
        <v/>
      </c>
      <c r="BU124" s="28">
        <f>VLOOKUP(BT124,$BP124:$BS127,2,FALSE)</f>
        <v>0</v>
      </c>
      <c r="BV124" s="28">
        <f>VLOOKUP(BT124,$BP124:$BS127,3,FALSE)</f>
        <v>0</v>
      </c>
      <c r="BW124" s="28">
        <f>VLOOKUP(BT124,$BP124:$BS127,4,FALSE)</f>
        <v>0</v>
      </c>
      <c r="BX124" s="28" t="str">
        <f>BT124</f>
        <v/>
      </c>
      <c r="BY124" s="28">
        <f>VLOOKUP($BX124,$AJ124:$AQ127,2,FALSE)</f>
        <v>0</v>
      </c>
      <c r="BZ124" s="28">
        <f>VLOOKUP($BX124,$AJ124:$AQ127,3,FALSE)</f>
        <v>0</v>
      </c>
      <c r="CA124" s="28">
        <f>VLOOKUP($BX124,$AJ124:$AQ127,4,FALSE)</f>
        <v>0</v>
      </c>
      <c r="CB124" s="28">
        <f>VLOOKUP($BX124,$AJ124:$AQ127,5,FALSE)</f>
        <v>0</v>
      </c>
      <c r="CC124" s="28">
        <f>VLOOKUP($BX124,$AJ124:$AQ127,6,FALSE)</f>
        <v>0</v>
      </c>
      <c r="CD124" s="28">
        <f>VLOOKUP($BX124,$AJ124:$AQ127,7,FALSE)</f>
        <v>0</v>
      </c>
      <c r="CE124" s="28">
        <f>VLOOKUP($BX124,$AJ124:$AQ127,8,FALSE)</f>
        <v>0</v>
      </c>
      <c r="CF124" s="128" t="str">
        <f>CONCATENATE(CC124,":",CD124)</f>
        <v>0:0</v>
      </c>
    </row>
    <row r="125" spans="1:84" x14ac:dyDescent="0.2">
      <c r="A125" s="27" t="str">
        <f>'1-zapasy'!B100</f>
        <v/>
      </c>
      <c r="B125" s="220" t="str">
        <f>'1-zapasy'!I100</f>
        <v/>
      </c>
      <c r="C125" s="220" t="e">
        <f>'3-zapasy'!#REF!</f>
        <v>#REF!</v>
      </c>
      <c r="D125" s="220" t="str">
        <f>'1-zapasy'!J100</f>
        <v/>
      </c>
      <c r="E125" s="27" t="str">
        <f>'1-zapasy'!C100</f>
        <v/>
      </c>
      <c r="F125" s="28">
        <f>COUNTBLANK('1-zapasy'!I100:'1-zapasy'!J100)</f>
        <v>2</v>
      </c>
      <c r="G125" s="28">
        <f>IF(AND(F125=0,OR($A125=$G122,$E125=$G122)),1,0)</f>
        <v>0</v>
      </c>
      <c r="H125" s="28">
        <f>IF(AND(F125=0,OR(AND($A125=$G122,$B125&gt;$D125),AND($E125=$G122,$D125&gt;$B125))),1,0)</f>
        <v>0</v>
      </c>
      <c r="I125" s="28">
        <f t="shared" si="156"/>
        <v>0</v>
      </c>
      <c r="J125" s="28">
        <f>IF(AND(F125=0,OR(AND($A125=$G122,$B125&lt;$D125),AND($E125=$G122,$D125&lt;$B125))),1,0)</f>
        <v>0</v>
      </c>
      <c r="K125" s="28">
        <f>IF(F125&gt;0,0,IF($A125=$G122,$B125,IF($E125=$G122,$D125,0)))</f>
        <v>0</v>
      </c>
      <c r="L125" s="28">
        <f>IF(F125&gt;0,0,IF($A125=$G122,$D125,IF($E125=$G122,$B125,0)))</f>
        <v>0</v>
      </c>
      <c r="M125">
        <f t="shared" si="157"/>
        <v>0</v>
      </c>
      <c r="N125">
        <f>IF(AND(F125=0,OR($A125=$N122,$E125=$N122)),1,0)</f>
        <v>0</v>
      </c>
      <c r="O125">
        <f>IF(AND(F125=0,OR(AND($A125=$N122,$B125&gt;$D125),AND($E125=$N122,$D125&gt;$B125))),1,0)</f>
        <v>0</v>
      </c>
      <c r="P125">
        <f t="shared" si="158"/>
        <v>0</v>
      </c>
      <c r="Q125">
        <f>IF(AND(F125=0,OR(AND($A125=$N122,$B125&lt;$D125),AND($E125=$N122,$D125&lt;$B125))),1,0)</f>
        <v>0</v>
      </c>
      <c r="R125">
        <f>IF(F125&gt;0,0,IF($A125=$N122,$B125,IF($E125=$N122,$D125,0)))</f>
        <v>0</v>
      </c>
      <c r="S125">
        <f>IF(F125&gt;0,0,IF($A125=$N122,$D125,IF($E125=$N122,$B125,0)))</f>
        <v>0</v>
      </c>
      <c r="T125">
        <f t="shared" si="159"/>
        <v>0</v>
      </c>
      <c r="U125">
        <f>IF(AND(F125=0,OR($A125=$U122,$E125=$U122)),1,0)</f>
        <v>0</v>
      </c>
      <c r="V125">
        <f>IF(AND(F125=0,OR(AND($A125=$U122,$B125&gt;$D125),AND($E125=$U122,$D125&gt;$B125))),1,0)</f>
        <v>0</v>
      </c>
      <c r="W125">
        <f t="shared" si="160"/>
        <v>0</v>
      </c>
      <c r="X125">
        <f>IF(AND(F125=0,OR(AND($A125=$U122,$B125&lt;$D125),AND($E125=$U122,$D125&lt;$B125))),1,0)</f>
        <v>0</v>
      </c>
      <c r="Y125">
        <f>IF(F125&gt;0,0,IF($A125=$U122,$B125,IF($E125=$U122,$D125,0)))</f>
        <v>0</v>
      </c>
      <c r="Z125">
        <f>IF(F125&gt;0,0,IF($A125=$U122,$D125,IF($E125=$U122,$B125,0)))</f>
        <v>0</v>
      </c>
      <c r="AA125">
        <f t="shared" si="161"/>
        <v>0</v>
      </c>
      <c r="AB125">
        <f>IF(AND(F125=0,OR($A125=$AB122,$E125=$AB122)),1,0)</f>
        <v>0</v>
      </c>
      <c r="AC125">
        <f>IF(AND(F125=0,OR(AND($A125=$AB122,$B125&gt;$D125),AND($E125=$AB122,$D125&gt;$B125))),1,0)</f>
        <v>0</v>
      </c>
      <c r="AD125">
        <f t="shared" si="162"/>
        <v>0</v>
      </c>
      <c r="AE125">
        <f>IF(AND(F125=0,OR(AND($A125=$AB122,$B125&lt;$D125),AND($E125=$AB122,$D125&lt;$B125))),1,0)</f>
        <v>0</v>
      </c>
      <c r="AF125">
        <f>IF(F125&gt;0,0,IF($A125=$AB122,$B125,IF($E125=$AB122,$D125,0)))</f>
        <v>0</v>
      </c>
      <c r="AG125">
        <f>IF(F125&gt;0,0,IF($A125=$AB122,$D125,IF($E125=$AB122,$B125,0)))</f>
        <v>0</v>
      </c>
      <c r="AH125">
        <f t="shared" si="163"/>
        <v>0</v>
      </c>
      <c r="AJ125" s="28" t="str">
        <f>N122</f>
        <v/>
      </c>
      <c r="AK125" s="28">
        <f t="shared" ref="AK125:AQ125" si="165">N130</f>
        <v>0</v>
      </c>
      <c r="AL125" s="28">
        <f t="shared" si="165"/>
        <v>0</v>
      </c>
      <c r="AM125" s="28">
        <f t="shared" si="165"/>
        <v>0</v>
      </c>
      <c r="AN125" s="28">
        <f t="shared" si="165"/>
        <v>0</v>
      </c>
      <c r="AO125" s="28">
        <f t="shared" si="165"/>
        <v>0</v>
      </c>
      <c r="AP125" s="28">
        <f t="shared" si="165"/>
        <v>0</v>
      </c>
      <c r="AQ125" s="28">
        <f t="shared" si="165"/>
        <v>0</v>
      </c>
      <c r="AS125" s="28" t="str">
        <f>IF($AQ125&lt;=$AQ124,$AJ125,$AJ124)</f>
        <v/>
      </c>
      <c r="AT125" s="28">
        <f>VLOOKUP(AS125,$AJ124:$AQ127,8,FALSE)</f>
        <v>0</v>
      </c>
      <c r="AU125" s="28" t="str">
        <f>IF($AT125&gt;=$AT127,$AS125,$AS127)</f>
        <v/>
      </c>
      <c r="AV125" s="28">
        <f>VLOOKUP(AU125,$AS124:$AT127,2,FALSE)</f>
        <v>0</v>
      </c>
      <c r="AW125" s="28" t="str">
        <f>IF($AV125&gt;=$AV126,$AU125,$AU126)</f>
        <v/>
      </c>
      <c r="AX125" s="28">
        <f>VLOOKUP(AW125,$AU124:$AV127,2,FALSE)</f>
        <v>0</v>
      </c>
      <c r="AY125" s="28">
        <f>VLOOKUP(AW125,$AJ124:$AQ127,6,FALSE)</f>
        <v>0</v>
      </c>
      <c r="AZ125" s="28">
        <f>VLOOKUP(AW125,$AJ124:$AQ127,7,FALSE)</f>
        <v>0</v>
      </c>
      <c r="BA125" s="28">
        <f>AY125-AZ125</f>
        <v>0</v>
      </c>
      <c r="BB125" s="28" t="str">
        <f>IF(AND($AX124=$AX125,$BA125&gt;$BA124),$AW124,$AW125)</f>
        <v/>
      </c>
      <c r="BC125" s="28">
        <f>VLOOKUP(BB125,$AW124:$BA127,2,FALSE)</f>
        <v>0</v>
      </c>
      <c r="BD125" s="28">
        <f>VLOOKUP(BB125,$AW124:$BA127,5,FALSE)</f>
        <v>0</v>
      </c>
      <c r="BE125" s="28" t="str">
        <f>IF(AND($BC125=$BC127,$BD127&gt;$BD125),$BB127,$BB125)</f>
        <v/>
      </c>
      <c r="BF125" s="28">
        <f>VLOOKUP(BE125,$BB124:$BD127,2,FALSE)</f>
        <v>0</v>
      </c>
      <c r="BG125" s="28">
        <f>VLOOKUP(BE125,$BB124:$BD127,3,FALSE)</f>
        <v>0</v>
      </c>
      <c r="BH125" s="28" t="str">
        <f>IF(AND($BF125=$BF126,$BG126&gt;$BG125),$BE126,$BE125)</f>
        <v/>
      </c>
      <c r="BI125" s="28">
        <f>VLOOKUP(BH125,$BE124:$BG127,2,FALSE)</f>
        <v>0</v>
      </c>
      <c r="BJ125" s="28">
        <f>VLOOKUP(BH125,$BE124:$BG127,3,FALSE)</f>
        <v>0</v>
      </c>
      <c r="BK125" s="28">
        <f>VLOOKUP(BH125,$AJ124:$AQ127,6,FALSE)</f>
        <v>0</v>
      </c>
      <c r="BL125" s="28" t="str">
        <f>IF(AND($BI124=$BI125,$BJ124=$BJ125,$BK125&gt;$BK124),$BH124,$BH125)</f>
        <v/>
      </c>
      <c r="BM125" s="28">
        <f>VLOOKUP(BL125,$BH124:$BK127,2,FALSE)</f>
        <v>0</v>
      </c>
      <c r="BN125" s="28">
        <f>VLOOKUP(BL125,$BH124:$BK127,3,FALSE)</f>
        <v>0</v>
      </c>
      <c r="BO125" s="28">
        <f>VLOOKUP(BL125,$BH124:$BK127,4,FALSE)</f>
        <v>0</v>
      </c>
      <c r="BP125" s="28" t="str">
        <f>IF(AND($BM125=$BM127,$BN125=$BN127,$BO127&gt;$BO125),$BL127,$BL125)</f>
        <v/>
      </c>
      <c r="BQ125" s="28">
        <f>VLOOKUP(BP125,$BL124:$BO127,2,FALSE)</f>
        <v>0</v>
      </c>
      <c r="BR125" s="28">
        <f>VLOOKUP(BP125,$BL124:$BO127,3,FALSE)</f>
        <v>0</v>
      </c>
      <c r="BS125" s="28">
        <f>VLOOKUP(BP125,$BL124:$BO127,4,FALSE)</f>
        <v>0</v>
      </c>
      <c r="BT125" s="28" t="str">
        <f>IF(AND($BQ125=$BQ126,$BR125=$BR126,$BS126&gt;$BS125),$BP126,$BP125)</f>
        <v/>
      </c>
      <c r="BU125" s="28">
        <f>VLOOKUP(BT125,$BP124:$BS127,2,FALSE)</f>
        <v>0</v>
      </c>
      <c r="BV125" s="28">
        <f>VLOOKUP(BT125,$BP124:$BS127,3,FALSE)</f>
        <v>0</v>
      </c>
      <c r="BW125" s="28">
        <f>VLOOKUP(BT125,$BP124:$BS127,4,FALSE)</f>
        <v>0</v>
      </c>
      <c r="BX125" s="28" t="str">
        <f>BT125</f>
        <v/>
      </c>
      <c r="BY125" s="28">
        <f>VLOOKUP($BX125,$AJ124:$AQ127,2,FALSE)</f>
        <v>0</v>
      </c>
      <c r="BZ125" s="28">
        <f>VLOOKUP($BX125,$AJ124:$AQ127,3,FALSE)</f>
        <v>0</v>
      </c>
      <c r="CA125" s="28">
        <f>VLOOKUP($BX125,$AJ124:$AQ127,4,FALSE)</f>
        <v>0</v>
      </c>
      <c r="CB125" s="28">
        <f>VLOOKUP($BX125,$AJ124:$AQ127,5,FALSE)</f>
        <v>0</v>
      </c>
      <c r="CC125" s="28">
        <f>VLOOKUP($BX125,$AJ124:$AQ127,6,FALSE)</f>
        <v>0</v>
      </c>
      <c r="CD125" s="28">
        <f>VLOOKUP($BX125,$AJ124:$AQ127,7,FALSE)</f>
        <v>0</v>
      </c>
      <c r="CE125" s="28">
        <f>VLOOKUP($BX125,$AJ124:$AQ127,8,FALSE)</f>
        <v>0</v>
      </c>
      <c r="CF125" s="128" t="str">
        <f>CONCATENATE(CC125,":",CD125)</f>
        <v>0:0</v>
      </c>
    </row>
    <row r="126" spans="1:84" x14ac:dyDescent="0.2">
      <c r="A126" s="27" t="str">
        <f>'1-zapasy'!B101</f>
        <v/>
      </c>
      <c r="B126" s="220" t="str">
        <f>'1-zapasy'!I101</f>
        <v/>
      </c>
      <c r="C126" s="220" t="e">
        <f>'3-zapasy'!#REF!</f>
        <v>#REF!</v>
      </c>
      <c r="D126" s="220" t="str">
        <f>'1-zapasy'!J101</f>
        <v/>
      </c>
      <c r="E126" s="27" t="str">
        <f>'1-zapasy'!C101</f>
        <v/>
      </c>
      <c r="F126" s="28">
        <f>COUNTBLANK('1-zapasy'!I101:'1-zapasy'!J101)</f>
        <v>2</v>
      </c>
      <c r="G126" s="28">
        <f>IF(AND(F126=0,OR($A126=$G122,$E126=$G122)),1,0)</f>
        <v>0</v>
      </c>
      <c r="H126" s="28">
        <f>IF(AND(F126=0,OR(AND($A126=$G122,$B126&gt;$D126),AND($E126=$G122,$D126&gt;$B126))),1,0)</f>
        <v>0</v>
      </c>
      <c r="I126" s="28">
        <f t="shared" si="156"/>
        <v>0</v>
      </c>
      <c r="J126" s="28">
        <f>IF(AND(F126=0,OR(AND($A126=$G122,$B126&lt;$D126),AND($E126=$G122,$D126&lt;$B126))),1,0)</f>
        <v>0</v>
      </c>
      <c r="K126" s="28">
        <f>IF(F126&gt;0,0,IF($A126=$G122,$B126,IF($E126=$G122,$D126,0)))</f>
        <v>0</v>
      </c>
      <c r="L126" s="28">
        <f>IF(F126&gt;0,0,IF($A126=$G122,$D126,IF($E126=$G122,$B126,0)))</f>
        <v>0</v>
      </c>
      <c r="M126">
        <f t="shared" si="157"/>
        <v>0</v>
      </c>
      <c r="N126">
        <f>IF(AND(F126=0,OR($A126=$N122,$E126=$N122)),1,0)</f>
        <v>0</v>
      </c>
      <c r="O126">
        <f>IF(AND(F126=0,OR(AND($A126=$N122,$B126&gt;$D126),AND($E126=$N122,$D126&gt;$B126))),1,0)</f>
        <v>0</v>
      </c>
      <c r="P126">
        <f t="shared" si="158"/>
        <v>0</v>
      </c>
      <c r="Q126">
        <f>IF(AND(F126=0,OR(AND($A126=$N122,$B126&lt;$D126),AND($E126=$N122,$D126&lt;$B126))),1,0)</f>
        <v>0</v>
      </c>
      <c r="R126">
        <f>IF(F126&gt;0,0,IF($A126=$N122,$B126,IF($E126=$N122,$D126,0)))</f>
        <v>0</v>
      </c>
      <c r="S126">
        <f>IF(F126&gt;0,0,IF($A126=$N122,$D126,IF($E126=$N122,$B126,0)))</f>
        <v>0</v>
      </c>
      <c r="T126">
        <f t="shared" si="159"/>
        <v>0</v>
      </c>
      <c r="U126">
        <f>IF(AND(F126=0,OR($A126=$U122,$E126=$U122)),1,0)</f>
        <v>0</v>
      </c>
      <c r="V126">
        <f>IF(AND(F126=0,OR(AND($A126=$U122,$B126&gt;$D126),AND($E126=$U122,$D126&gt;$B126))),1,0)</f>
        <v>0</v>
      </c>
      <c r="W126">
        <f t="shared" si="160"/>
        <v>0</v>
      </c>
      <c r="X126">
        <f>IF(AND(F126=0,OR(AND($A126=$U122,$B126&lt;$D126),AND($E126=$U122,$D126&lt;$B126))),1,0)</f>
        <v>0</v>
      </c>
      <c r="Y126">
        <f>IF(F126&gt;0,0,IF($A126=$U122,$B126,IF($E126=$U122,$D126,0)))</f>
        <v>0</v>
      </c>
      <c r="Z126">
        <f>IF(F126&gt;0,0,IF($A126=$U122,$D126,IF($E126=$U122,$B126,0)))</f>
        <v>0</v>
      </c>
      <c r="AA126">
        <f t="shared" si="161"/>
        <v>0</v>
      </c>
      <c r="AB126">
        <f>IF(AND(F126=0,OR($A126=$AB122,$E126=$AB122)),1,0)</f>
        <v>0</v>
      </c>
      <c r="AC126">
        <f>IF(AND(F126=0,OR(AND($A126=$AB122,$B126&gt;$D126),AND($E126=$AB122,$D126&gt;$B126))),1,0)</f>
        <v>0</v>
      </c>
      <c r="AD126">
        <f t="shared" si="162"/>
        <v>0</v>
      </c>
      <c r="AE126">
        <f>IF(AND(F126=0,OR(AND($A126=$AB122,$B126&lt;$D126),AND($E126=$AB122,$D126&lt;$B126))),1,0)</f>
        <v>0</v>
      </c>
      <c r="AF126">
        <f>IF(F126&gt;0,0,IF($A126=$AB122,$B126,IF($E126=$AB122,$D126,0)))</f>
        <v>0</v>
      </c>
      <c r="AG126">
        <f>IF(F126&gt;0,0,IF($A126=$AB122,$D126,IF($E126=$AB122,$B126,0)))</f>
        <v>0</v>
      </c>
      <c r="AH126">
        <f t="shared" si="163"/>
        <v>0</v>
      </c>
      <c r="AJ126" s="28" t="str">
        <f>U122</f>
        <v/>
      </c>
      <c r="AK126" s="28">
        <f t="shared" ref="AK126:AQ126" si="166">U130</f>
        <v>0</v>
      </c>
      <c r="AL126" s="28">
        <f t="shared" si="166"/>
        <v>0</v>
      </c>
      <c r="AM126" s="28">
        <f t="shared" si="166"/>
        <v>0</v>
      </c>
      <c r="AN126" s="28">
        <f t="shared" si="166"/>
        <v>0</v>
      </c>
      <c r="AO126" s="28">
        <f t="shared" si="166"/>
        <v>0</v>
      </c>
      <c r="AP126" s="28">
        <f t="shared" si="166"/>
        <v>0</v>
      </c>
      <c r="AQ126" s="28">
        <f t="shared" si="166"/>
        <v>0</v>
      </c>
      <c r="AS126" s="28" t="str">
        <f>IF($AQ126&gt;=$AQ127,$AJ126,$AJ127)</f>
        <v/>
      </c>
      <c r="AT126" s="28">
        <f>VLOOKUP(AS126,$AJ124:$AQ127,8,FALSE)</f>
        <v>0</v>
      </c>
      <c r="AU126" s="28" t="str">
        <f>IF($AT126&lt;=$AT124,$AS126,$AS124)</f>
        <v/>
      </c>
      <c r="AV126" s="28">
        <f>VLOOKUP(AU126,$AS124:$AT127,2,FALSE)</f>
        <v>0</v>
      </c>
      <c r="AW126" s="28" t="str">
        <f>IF($AV126&lt;=$AV125,$AU126,$AU125)</f>
        <v/>
      </c>
      <c r="AX126" s="28">
        <f>VLOOKUP(AW126,$AU124:$AV127,2,FALSE)</f>
        <v>0</v>
      </c>
      <c r="AY126" s="28">
        <f>VLOOKUP(AW126,$AJ124:$AQ127,6,FALSE)</f>
        <v>0</v>
      </c>
      <c r="AZ126" s="28">
        <f>VLOOKUP(AW126,$AJ124:$AQ127,7,FALSE)</f>
        <v>0</v>
      </c>
      <c r="BA126" s="28">
        <f>AY126-AZ126</f>
        <v>0</v>
      </c>
      <c r="BB126" s="28" t="str">
        <f>IF(AND($AX126=$AX127,$BA127&gt;$BA126),$AW127,$AW126)</f>
        <v/>
      </c>
      <c r="BC126" s="28">
        <f>VLOOKUP(BB126,$AW124:$BA127,2,FALSE)</f>
        <v>0</v>
      </c>
      <c r="BD126" s="28">
        <f>VLOOKUP(BB126,$AW124:$BA127,5,FALSE)</f>
        <v>0</v>
      </c>
      <c r="BE126" s="28" t="str">
        <f>IF(AND($BC124=$BC126,$BD126&gt;$BD124),$BB124,$BB126)</f>
        <v/>
      </c>
      <c r="BF126" s="28">
        <f>VLOOKUP(BE126,$BB124:$BD127,2,FALSE)</f>
        <v>0</v>
      </c>
      <c r="BG126" s="28">
        <f>VLOOKUP(BE126,$BB124:$BD127,3,FALSE)</f>
        <v>0</v>
      </c>
      <c r="BH126" s="28" t="str">
        <f>IF(AND($BF125=$BF126,$BG126&gt;$BG125),$BE125,$BE126)</f>
        <v/>
      </c>
      <c r="BI126" s="28">
        <f>VLOOKUP(BH126,$BE124:$BG127,2,FALSE)</f>
        <v>0</v>
      </c>
      <c r="BJ126" s="28">
        <f>VLOOKUP(BH126,$BE124:$BG127,3,FALSE)</f>
        <v>0</v>
      </c>
      <c r="BK126" s="28">
        <f>VLOOKUP(BH126,$AJ124:$AQ127,6,FALSE)</f>
        <v>0</v>
      </c>
      <c r="BL126" s="28" t="str">
        <f>IF(AND($BI126=$BI127,$BJ126=$BJ127,$BK127&gt;$BK126),$BH127,$BH126)</f>
        <v/>
      </c>
      <c r="BM126" s="28">
        <f>VLOOKUP(BL126,$BH124:$BK127,2,FALSE)</f>
        <v>0</v>
      </c>
      <c r="BN126" s="28">
        <f>VLOOKUP(BL126,$BH124:$BK127,3,FALSE)</f>
        <v>0</v>
      </c>
      <c r="BO126" s="28">
        <f>VLOOKUP(BL126,$BH124:$BK127,4,FALSE)</f>
        <v>0</v>
      </c>
      <c r="BP126" s="28" t="str">
        <f>IF(AND($BM124=$BM126,$BN124=$BN126,$BO126&gt;$BO124),$BL124,$BL126)</f>
        <v/>
      </c>
      <c r="BQ126" s="28">
        <f>VLOOKUP(BP126,$BL124:$BO127,2,FALSE)</f>
        <v>0</v>
      </c>
      <c r="BR126" s="28">
        <f>VLOOKUP(BP126,$BL124:$BO127,3,FALSE)</f>
        <v>0</v>
      </c>
      <c r="BS126" s="28">
        <f>VLOOKUP(BP126,$BL124:$BO127,4,FALSE)</f>
        <v>0</v>
      </c>
      <c r="BT126" s="28" t="str">
        <f>IF(AND($BQ125=$BQ126,$BR125=$BR126,$BS126&gt;$BS125),$BP125,$BP126)</f>
        <v/>
      </c>
      <c r="BU126" s="28">
        <f>VLOOKUP(BT126,$BP124:$BS127,2,FALSE)</f>
        <v>0</v>
      </c>
      <c r="BV126" s="28">
        <f>VLOOKUP(BT126,$BP124:$BS127,3,FALSE)</f>
        <v>0</v>
      </c>
      <c r="BW126" s="28">
        <f>VLOOKUP(BT126,$BP124:$BS127,4,FALSE)</f>
        <v>0</v>
      </c>
      <c r="BX126" s="28" t="str">
        <f>BT126</f>
        <v/>
      </c>
      <c r="BY126" s="28">
        <f>VLOOKUP($BX126,$AJ124:$AQ127,2,FALSE)</f>
        <v>0</v>
      </c>
      <c r="BZ126" s="28">
        <f>VLOOKUP($BX126,$AJ124:$AQ127,3,FALSE)</f>
        <v>0</v>
      </c>
      <c r="CA126" s="28">
        <f>VLOOKUP($BX126,$AJ124:$AQ127,4,FALSE)</f>
        <v>0</v>
      </c>
      <c r="CB126" s="28">
        <f>VLOOKUP($BX126,$AJ124:$AQ127,5,FALSE)</f>
        <v>0</v>
      </c>
      <c r="CC126" s="28">
        <f>VLOOKUP($BX126,$AJ124:$AQ127,6,FALSE)</f>
        <v>0</v>
      </c>
      <c r="CD126" s="28">
        <f>VLOOKUP($BX126,$AJ124:$AQ127,7,FALSE)</f>
        <v>0</v>
      </c>
      <c r="CE126" s="28">
        <f>VLOOKUP($BX126,$AJ124:$AQ127,8,FALSE)</f>
        <v>0</v>
      </c>
      <c r="CF126" s="128" t="str">
        <f>CONCATENATE(CC126,":",CD126)</f>
        <v>0:0</v>
      </c>
    </row>
    <row r="127" spans="1:84" x14ac:dyDescent="0.2">
      <c r="A127" s="27" t="str">
        <f>'1-zapasy'!B102</f>
        <v/>
      </c>
      <c r="B127" s="220" t="str">
        <f>'1-zapasy'!I102</f>
        <v/>
      </c>
      <c r="C127" s="220" t="e">
        <f>'3-zapasy'!#REF!</f>
        <v>#REF!</v>
      </c>
      <c r="D127" s="220" t="str">
        <f>'1-zapasy'!J102</f>
        <v/>
      </c>
      <c r="E127" s="27" t="str">
        <f>'1-zapasy'!C102</f>
        <v/>
      </c>
      <c r="F127" s="28">
        <f>COUNTBLANK('1-zapasy'!I102:'1-zapasy'!J102)</f>
        <v>2</v>
      </c>
      <c r="G127" s="28">
        <f>IF(AND(F127=0,OR($A127=$G122,$E127=$G122)),1,0)</f>
        <v>0</v>
      </c>
      <c r="H127" s="28">
        <f>IF(AND(F127=0,OR(AND($A127=$G122,$B127&gt;$D127),AND($E127=$G122,$D127&gt;$B127))),1,0)</f>
        <v>0</v>
      </c>
      <c r="I127" s="28">
        <f t="shared" si="156"/>
        <v>0</v>
      </c>
      <c r="J127" s="28">
        <f>IF(AND(F127=0,OR(AND($A127=$G122,$B127&lt;$D127),AND($E127=$G122,$D127&lt;$B127))),1,0)</f>
        <v>0</v>
      </c>
      <c r="K127" s="28">
        <f>IF(F127&gt;0,0,IF($A127=$G122,$B127,IF($E127=$G122,$D127,0)))</f>
        <v>0</v>
      </c>
      <c r="L127" s="28">
        <f>IF(F127&gt;0,0,IF($A127=$G122,$D127,IF($E127=$G122,$B127,0)))</f>
        <v>0</v>
      </c>
      <c r="M127">
        <f t="shared" si="157"/>
        <v>0</v>
      </c>
      <c r="N127">
        <f>IF(AND(F127=0,OR($A127=$N122,$E127=$N122)),1,0)</f>
        <v>0</v>
      </c>
      <c r="O127">
        <f>IF(AND(F127=0,OR(AND($A127=$N122,$B127&gt;$D127),AND($E127=$N122,$D127&gt;$B127))),1,0)</f>
        <v>0</v>
      </c>
      <c r="P127">
        <f t="shared" si="158"/>
        <v>0</v>
      </c>
      <c r="Q127">
        <f>IF(AND(F127=0,OR(AND($A127=$N122,$B127&lt;$D127),AND($E127=$N122,$D127&lt;$B127))),1,0)</f>
        <v>0</v>
      </c>
      <c r="R127">
        <f>IF(F127&gt;0,0,IF($A127=$N122,$B127,IF($E127=$N122,$D127,0)))</f>
        <v>0</v>
      </c>
      <c r="S127">
        <f>IF(F127&gt;0,0,IF($A127=$N122,$D127,IF($E127=$N122,$B127,0)))</f>
        <v>0</v>
      </c>
      <c r="T127">
        <f t="shared" si="159"/>
        <v>0</v>
      </c>
      <c r="U127">
        <f>IF(AND(F127=0,OR($A127=$U122,$E127=$U122)),1,0)</f>
        <v>0</v>
      </c>
      <c r="V127">
        <f>IF(AND(F127=0,OR(AND($A127=$U122,$B127&gt;$D127),AND($E127=$U122,$D127&gt;$B127))),1,0)</f>
        <v>0</v>
      </c>
      <c r="W127">
        <f t="shared" si="160"/>
        <v>0</v>
      </c>
      <c r="X127">
        <f>IF(AND(F127=0,OR(AND($A127=$U122,$B127&lt;$D127),AND($E127=$U122,$D127&lt;$B127))),1,0)</f>
        <v>0</v>
      </c>
      <c r="Y127">
        <f>IF(F127&gt;0,0,IF($A127=$U122,$B127,IF($E127=$U122,$D127,0)))</f>
        <v>0</v>
      </c>
      <c r="Z127">
        <f>IF(F127&gt;0,0,IF($A127=$U122,$D127,IF($E127=$U122,$B127,0)))</f>
        <v>0</v>
      </c>
      <c r="AA127">
        <f t="shared" si="161"/>
        <v>0</v>
      </c>
      <c r="AB127">
        <f>IF(AND(F127=0,OR($A127=$AB122,$E127=$AB122)),1,0)</f>
        <v>0</v>
      </c>
      <c r="AC127">
        <f>IF(AND(F127=0,OR(AND($A127=$AB122,$B127&gt;$D127),AND($E127=$AB122,$D127&gt;$B127))),1,0)</f>
        <v>0</v>
      </c>
      <c r="AD127">
        <f t="shared" si="162"/>
        <v>0</v>
      </c>
      <c r="AE127">
        <f>IF(AND(F127=0,OR(AND($A127=$AB122,$B127&lt;$D127),AND($E127=$AB122,$D127&lt;$B127))),1,0)</f>
        <v>0</v>
      </c>
      <c r="AF127">
        <f>IF(F127&gt;0,0,IF($A127=$AB122,$B127,IF($E127=$AB122,$D127,0)))</f>
        <v>0</v>
      </c>
      <c r="AG127">
        <f>IF(F127&gt;0,0,IF($A127=$AB122,$D127,IF($E127=$AB122,$B127,0)))</f>
        <v>0</v>
      </c>
      <c r="AH127">
        <f t="shared" si="163"/>
        <v>0</v>
      </c>
      <c r="AJ127" s="28" t="str">
        <f>AB122</f>
        <v/>
      </c>
      <c r="AK127" s="28">
        <f t="shared" ref="AK127:AQ127" si="167">AB130</f>
        <v>0</v>
      </c>
      <c r="AL127" s="28">
        <f t="shared" si="167"/>
        <v>0</v>
      </c>
      <c r="AM127" s="28">
        <f t="shared" si="167"/>
        <v>0</v>
      </c>
      <c r="AN127" s="28">
        <f t="shared" si="167"/>
        <v>0</v>
      </c>
      <c r="AO127" s="28">
        <f t="shared" si="167"/>
        <v>0</v>
      </c>
      <c r="AP127" s="28">
        <f t="shared" si="167"/>
        <v>0</v>
      </c>
      <c r="AQ127" s="28">
        <f t="shared" si="167"/>
        <v>0</v>
      </c>
      <c r="AS127" s="28" t="str">
        <f>IF($AQ127&lt;=$AQ126,$AJ127,$AJ126)</f>
        <v/>
      </c>
      <c r="AT127" s="28">
        <f>VLOOKUP(AS127,$AJ124:$AQ127,8,FALSE)</f>
        <v>0</v>
      </c>
      <c r="AU127" s="28" t="str">
        <f>IF($AT127&lt;=$AT125,$AS127,$AS125)</f>
        <v/>
      </c>
      <c r="AV127" s="28">
        <f>VLOOKUP(AU127,$AS124:$AT127,2,FALSE)</f>
        <v>0</v>
      </c>
      <c r="AW127" s="28" t="str">
        <f>IF($AV127&lt;=$AV124,$AU127,$AU124)</f>
        <v/>
      </c>
      <c r="AX127" s="28">
        <f>VLOOKUP(AW127,$AU124:$AV127,2,FALSE)</f>
        <v>0</v>
      </c>
      <c r="AY127" s="28">
        <f>VLOOKUP(AW127,$AJ124:$AQ127,6,FALSE)</f>
        <v>0</v>
      </c>
      <c r="AZ127" s="28">
        <f>VLOOKUP(AW127,$AJ124:$AQ127,7,FALSE)</f>
        <v>0</v>
      </c>
      <c r="BA127" s="28">
        <f>AY127-AZ127</f>
        <v>0</v>
      </c>
      <c r="BB127" s="28" t="str">
        <f>IF(AND($AX126=$AX127,$BA127&gt;$BA126),$AW126,$AW127)</f>
        <v/>
      </c>
      <c r="BC127" s="28">
        <f>VLOOKUP(BB127,$AW124:$BA127,2,FALSE)</f>
        <v>0</v>
      </c>
      <c r="BD127" s="28">
        <f>VLOOKUP(BB127,$AW124:$BA127,5,FALSE)</f>
        <v>0</v>
      </c>
      <c r="BE127" s="28" t="str">
        <f>IF(AND($BC125=$BC127,$BD127&gt;$BD125),$BB125,$BB127)</f>
        <v/>
      </c>
      <c r="BF127" s="28">
        <f>VLOOKUP(BE127,$BB124:$BD127,2,FALSE)</f>
        <v>0</v>
      </c>
      <c r="BG127" s="28">
        <f>VLOOKUP(BE127,$BB124:$BD127,3,FALSE)</f>
        <v>0</v>
      </c>
      <c r="BH127" s="28" t="str">
        <f>IF(AND($BF124=$BF127,$BG127&gt;$BG124),$BE124,$BE127)</f>
        <v/>
      </c>
      <c r="BI127" s="28">
        <f>VLOOKUP(BH127,$BE124:$BG127,2,FALSE)</f>
        <v>0</v>
      </c>
      <c r="BJ127" s="28">
        <f>VLOOKUP(BH127,$BE124:$BG127,3,FALSE)</f>
        <v>0</v>
      </c>
      <c r="BK127" s="28">
        <f>VLOOKUP(BH127,$AJ124:$AQ127,6,FALSE)</f>
        <v>0</v>
      </c>
      <c r="BL127" s="28" t="str">
        <f>IF(AND($BI126=$BI127,$BJ126=$BJ127,$BK127&gt;$BK126),$BH126,$BH127)</f>
        <v/>
      </c>
      <c r="BM127" s="28">
        <f>VLOOKUP(BL127,$BH124:$BK127,2,FALSE)</f>
        <v>0</v>
      </c>
      <c r="BN127" s="28">
        <f>VLOOKUP(BL127,$BH124:$BK127,3,FALSE)</f>
        <v>0</v>
      </c>
      <c r="BO127" s="28">
        <f>VLOOKUP(BL127,$BH124:$BK127,4,FALSE)</f>
        <v>0</v>
      </c>
      <c r="BP127" s="28" t="str">
        <f>IF(AND($BM125=$BM127,$BN125=$BN127,$BO127&gt;$BO125),$BL125,$BL127)</f>
        <v/>
      </c>
      <c r="BQ127" s="28">
        <f>VLOOKUP(BP127,$BL124:$BO127,2,FALSE)</f>
        <v>0</v>
      </c>
      <c r="BR127" s="28">
        <f>VLOOKUP(BP127,$BL124:$BO127,3,FALSE)</f>
        <v>0</v>
      </c>
      <c r="BS127" s="28">
        <f>VLOOKUP(BP127,$BL124:$BO127,4,FALSE)</f>
        <v>0</v>
      </c>
      <c r="BT127" s="28" t="str">
        <f>IF(AND($BQ124=$BQ127,$BR124=$BR127,$BS127&gt;$BS124),$BP124,$BP127)</f>
        <v/>
      </c>
      <c r="BU127" s="28">
        <f>VLOOKUP(BT127,$BP124:$BS127,2,FALSE)</f>
        <v>0</v>
      </c>
      <c r="BV127" s="28">
        <f>VLOOKUP(BT127,$BP124:$BS127,3,FALSE)</f>
        <v>0</v>
      </c>
      <c r="BW127" s="28">
        <f>VLOOKUP(BT127,$BP124:$BS127,4,FALSE)</f>
        <v>0</v>
      </c>
      <c r="BX127" s="28" t="str">
        <f>BT127</f>
        <v/>
      </c>
      <c r="BY127" s="28">
        <f>VLOOKUP($BX127,$AJ124:$AQ127,2,FALSE)</f>
        <v>0</v>
      </c>
      <c r="BZ127" s="28">
        <f>VLOOKUP($BX127,$AJ124:$AQ127,3,FALSE)</f>
        <v>0</v>
      </c>
      <c r="CA127" s="28">
        <f>VLOOKUP($BX127,$AJ124:$AQ127,4,FALSE)</f>
        <v>0</v>
      </c>
      <c r="CB127" s="28">
        <f>VLOOKUP($BX127,$AJ124:$AQ127,5,FALSE)</f>
        <v>0</v>
      </c>
      <c r="CC127" s="28">
        <f>VLOOKUP($BX127,$AJ124:$AQ127,6,FALSE)</f>
        <v>0</v>
      </c>
      <c r="CD127" s="28">
        <f>VLOOKUP($BX127,$AJ124:$AQ127,7,FALSE)</f>
        <v>0</v>
      </c>
      <c r="CE127" s="28">
        <f>VLOOKUP($BX127,$AJ124:$AQ127,8,FALSE)</f>
        <v>0</v>
      </c>
      <c r="CF127" s="128" t="str">
        <f>CONCATENATE(CC127,":",CD127)</f>
        <v>0:0</v>
      </c>
    </row>
    <row r="128" spans="1:84" x14ac:dyDescent="0.2">
      <c r="A128" s="27" t="str">
        <f>'1-zapasy'!B103</f>
        <v/>
      </c>
      <c r="B128" s="220" t="str">
        <f>'1-zapasy'!I103</f>
        <v/>
      </c>
      <c r="C128" s="220" t="e">
        <f>'3-zapasy'!#REF!</f>
        <v>#REF!</v>
      </c>
      <c r="D128" s="220" t="str">
        <f>'1-zapasy'!J103</f>
        <v/>
      </c>
      <c r="E128" s="27" t="str">
        <f>'1-zapasy'!C103</f>
        <v/>
      </c>
      <c r="F128" s="28">
        <f>COUNTBLANK('1-zapasy'!I103:'1-zapasy'!J103)</f>
        <v>2</v>
      </c>
      <c r="G128" s="28">
        <f>IF(AND(F128=0,OR($A128=$G122,$E128=$G122)),1,0)</f>
        <v>0</v>
      </c>
      <c r="H128" s="28">
        <f>IF(AND(F128=0,OR(AND($A128=$G122,$B128&gt;$D128),AND($E128=$G122,$D128&gt;$B128))),1,0)</f>
        <v>0</v>
      </c>
      <c r="I128" s="28">
        <f t="shared" si="156"/>
        <v>0</v>
      </c>
      <c r="J128" s="28">
        <f>IF(AND(F128=0,OR(AND($A128=$G122,$B128&lt;$D128),AND($E128=$G122,$D128&lt;$B128))),1,0)</f>
        <v>0</v>
      </c>
      <c r="K128" s="28">
        <f>IF(F128&gt;0,0,IF($A128=$G122,$B128,IF($E128=$G122,$D128,0)))</f>
        <v>0</v>
      </c>
      <c r="L128" s="28">
        <f>IF(F128&gt;0,0,IF($A128=$G122,$D128,IF($E128=$G122,$B128,0)))</f>
        <v>0</v>
      </c>
      <c r="M128">
        <f t="shared" si="157"/>
        <v>0</v>
      </c>
      <c r="N128">
        <f>IF(AND(F128=0,OR($A128=$N122,$E128=$N122)),1,0)</f>
        <v>0</v>
      </c>
      <c r="O128">
        <f>IF(AND(F128=0,OR(AND($A128=$N122,$B128&gt;$D128),AND($E128=$N122,$D128&gt;$B128))),1,0)</f>
        <v>0</v>
      </c>
      <c r="P128">
        <f t="shared" si="158"/>
        <v>0</v>
      </c>
      <c r="Q128">
        <f>IF(AND(F128=0,OR(AND($A128=$N122,$B128&lt;$D128),AND($E128=$N122,$D128&lt;$B128))),1,0)</f>
        <v>0</v>
      </c>
      <c r="R128">
        <f>IF(F128&gt;0,0,IF($A128=$N122,$B128,IF($E128=$N122,$D128,0)))</f>
        <v>0</v>
      </c>
      <c r="S128">
        <f>IF(F128&gt;0,0,IF($A128=$N122,$D128,IF($E128=$N122,$B128,0)))</f>
        <v>0</v>
      </c>
      <c r="T128">
        <f t="shared" si="159"/>
        <v>0</v>
      </c>
      <c r="U128">
        <f>IF(AND(F128=0,OR($A128=$U122,$E128=$U122)),1,0)</f>
        <v>0</v>
      </c>
      <c r="V128">
        <f>IF(AND(F128=0,OR(AND($A128=$U122,$B128&gt;$D128),AND($E128=$U122,$D128&gt;$B128))),1,0)</f>
        <v>0</v>
      </c>
      <c r="W128">
        <f t="shared" si="160"/>
        <v>0</v>
      </c>
      <c r="X128">
        <f>IF(AND(F128=0,OR(AND($A128=$U122,$B128&lt;$D128),AND($E128=$U122,$D128&lt;$B128))),1,0)</f>
        <v>0</v>
      </c>
      <c r="Y128">
        <f>IF(F128&gt;0,0,IF($A128=$U122,$B128,IF($E128=$U122,$D128,0)))</f>
        <v>0</v>
      </c>
      <c r="Z128">
        <f>IF(F128&gt;0,0,IF($A128=$U122,$D128,IF($E128=$U122,$B128,0)))</f>
        <v>0</v>
      </c>
      <c r="AA128">
        <f t="shared" si="161"/>
        <v>0</v>
      </c>
      <c r="AB128">
        <f>IF(AND(F128=0,OR($A128=$AB122,$E128=$AB122)),1,0)</f>
        <v>0</v>
      </c>
      <c r="AC128">
        <f>IF(AND(F128=0,OR(AND($A128=$AB122,$B128&gt;$D128),AND($E128=$AB122,$D128&gt;$B128))),1,0)</f>
        <v>0</v>
      </c>
      <c r="AD128">
        <f t="shared" si="162"/>
        <v>0</v>
      </c>
      <c r="AE128">
        <f>IF(AND(F128=0,OR(AND($A128=$AB122,$B128&lt;$D128),AND($E128=$AB122,$D128&lt;$B128))),1,0)</f>
        <v>0</v>
      </c>
      <c r="AF128">
        <f>IF(F128&gt;0,0,IF($A128=$AB122,$B128,IF($E128=$AB122,$D128,0)))</f>
        <v>0</v>
      </c>
      <c r="AG128">
        <f>IF(F128&gt;0,0,IF($A128=$AB122,$D128,IF($E128=$AB122,$B128,0)))</f>
        <v>0</v>
      </c>
      <c r="AH128">
        <f t="shared" si="163"/>
        <v>0</v>
      </c>
    </row>
    <row r="129" spans="1:84" x14ac:dyDescent="0.2">
      <c r="A129" s="27" t="str">
        <f>'1-zapasy'!B104</f>
        <v/>
      </c>
      <c r="B129" s="220" t="str">
        <f>'1-zapasy'!I104</f>
        <v/>
      </c>
      <c r="C129" s="220" t="e">
        <f>'3-zapasy'!#REF!</f>
        <v>#REF!</v>
      </c>
      <c r="D129" s="220" t="str">
        <f>'1-zapasy'!J104</f>
        <v/>
      </c>
      <c r="E129" s="27" t="str">
        <f>'1-zapasy'!C104</f>
        <v/>
      </c>
      <c r="F129" s="28">
        <f>COUNTBLANK('1-zapasy'!I104:'1-zapasy'!J104)</f>
        <v>2</v>
      </c>
      <c r="G129" s="28">
        <f>IF(AND(F129=0,OR($A129=$G122,$E129=$G122)),1,0)</f>
        <v>0</v>
      </c>
      <c r="H129" s="28">
        <f>IF(AND(F129=0,OR(AND($A129=$G122,$B129&gt;$D129),AND($E129=$G122,$D129&gt;$B129))),1,0)</f>
        <v>0</v>
      </c>
      <c r="I129" s="28">
        <f t="shared" si="156"/>
        <v>0</v>
      </c>
      <c r="J129" s="28">
        <f>IF(AND(F129=0,OR(AND($A129=$G122,$B129&lt;$D129),AND($E129=$G122,$D129&lt;$B129))),1,0)</f>
        <v>0</v>
      </c>
      <c r="K129" s="28">
        <f>IF(F129&gt;0,0,IF($A129=$G122,$B129,IF($E129=$G122,$D129,0)))</f>
        <v>0</v>
      </c>
      <c r="L129" s="28">
        <f>IF(F129&gt;0,0,IF($A129=$G122,$D129,IF($E129=$G122,$B129,0)))</f>
        <v>0</v>
      </c>
      <c r="M129">
        <f t="shared" si="157"/>
        <v>0</v>
      </c>
      <c r="N129">
        <f>IF(AND(F129=0,OR($A129=$N122,$E129=$N122)),1,0)</f>
        <v>0</v>
      </c>
      <c r="O129">
        <f>IF(AND(F129=0,OR(AND($A129=$N122,$B129&gt;$D129),AND($E129=$N122,$D129&gt;$B129))),1,0)</f>
        <v>0</v>
      </c>
      <c r="P129">
        <f t="shared" si="158"/>
        <v>0</v>
      </c>
      <c r="Q129">
        <f>IF(AND(F129=0,OR(AND($A129=$N122,$B129&lt;$D129),AND($E129=$N122,$D129&lt;$B129))),1,0)</f>
        <v>0</v>
      </c>
      <c r="R129">
        <f>IF(F129&gt;0,0,IF($A129=$N122,$B129,IF($E129=$N122,$D129,0)))</f>
        <v>0</v>
      </c>
      <c r="S129">
        <f>IF(F129&gt;0,0,IF($A129=$N122,$D129,IF($E129=$N122,$B129,0)))</f>
        <v>0</v>
      </c>
      <c r="T129">
        <f t="shared" si="159"/>
        <v>0</v>
      </c>
      <c r="U129">
        <f>IF(AND(F129=0,OR($A129=$U122,$E129=$U122)),1,0)</f>
        <v>0</v>
      </c>
      <c r="V129">
        <f>IF(AND(F129=0,OR(AND($A129=$U122,$B129&gt;$D129),AND($E129=$U122,$D129&gt;$B129))),1,0)</f>
        <v>0</v>
      </c>
      <c r="W129">
        <f t="shared" si="160"/>
        <v>0</v>
      </c>
      <c r="X129">
        <f>IF(AND(F129=0,OR(AND($A129=$U122,$B129&lt;$D129),AND($E129=$U122,$D129&lt;$B129))),1,0)</f>
        <v>0</v>
      </c>
      <c r="Y129">
        <f>IF(F129&gt;0,0,IF($A129=$U122,$B129,IF($E129=$U122,$D129,0)))</f>
        <v>0</v>
      </c>
      <c r="Z129">
        <f>IF(F129&gt;0,0,IF($A129=$U122,$D129,IF($E129=$U122,$B129,0)))</f>
        <v>0</v>
      </c>
      <c r="AA129">
        <f t="shared" si="161"/>
        <v>0</v>
      </c>
      <c r="AB129">
        <f>IF(AND(F129=0,OR($A129=$AB122,$E129=$AB122)),1,0)</f>
        <v>0</v>
      </c>
      <c r="AC129">
        <f>IF(AND(F129=0,OR(AND($A129=$AB122,$B129&gt;$D129),AND($E129=$AB122,$D129&gt;$B129))),1,0)</f>
        <v>0</v>
      </c>
      <c r="AD129">
        <f t="shared" si="162"/>
        <v>0</v>
      </c>
      <c r="AE129">
        <f>IF(AND(F129=0,OR(AND($A129=$AB122,$B129&lt;$D129),AND($E129=$AB122,$D129&lt;$B129))),1,0)</f>
        <v>0</v>
      </c>
      <c r="AF129">
        <f>IF(F129&gt;0,0,IF($A129=$AB122,$B129,IF($E129=$AB122,$D129,0)))</f>
        <v>0</v>
      </c>
      <c r="AG129">
        <f>IF(F129&gt;0,0,IF($A129=$AB122,$D129,IF($E129=$AB122,$B129,0)))</f>
        <v>0</v>
      </c>
      <c r="AH129">
        <f t="shared" si="163"/>
        <v>0</v>
      </c>
    </row>
    <row r="130" spans="1:84" x14ac:dyDescent="0.2">
      <c r="G130" s="28">
        <f t="shared" ref="G130:AH130" si="168">SUM(G124:G129)</f>
        <v>0</v>
      </c>
      <c r="H130" s="28">
        <f t="shared" si="168"/>
        <v>0</v>
      </c>
      <c r="I130" s="28">
        <f t="shared" si="168"/>
        <v>0</v>
      </c>
      <c r="J130" s="28">
        <f t="shared" si="168"/>
        <v>0</v>
      </c>
      <c r="K130" s="28">
        <f t="shared" si="168"/>
        <v>0</v>
      </c>
      <c r="L130" s="28">
        <f t="shared" si="168"/>
        <v>0</v>
      </c>
      <c r="M130">
        <f t="shared" si="168"/>
        <v>0</v>
      </c>
      <c r="N130">
        <f t="shared" si="168"/>
        <v>0</v>
      </c>
      <c r="O130">
        <f t="shared" si="168"/>
        <v>0</v>
      </c>
      <c r="P130">
        <f t="shared" si="168"/>
        <v>0</v>
      </c>
      <c r="Q130">
        <f t="shared" si="168"/>
        <v>0</v>
      </c>
      <c r="R130">
        <f t="shared" si="168"/>
        <v>0</v>
      </c>
      <c r="S130">
        <f t="shared" si="168"/>
        <v>0</v>
      </c>
      <c r="T130">
        <f t="shared" si="168"/>
        <v>0</v>
      </c>
      <c r="U130">
        <f t="shared" si="168"/>
        <v>0</v>
      </c>
      <c r="V130">
        <f t="shared" si="168"/>
        <v>0</v>
      </c>
      <c r="W130">
        <f t="shared" si="168"/>
        <v>0</v>
      </c>
      <c r="X130">
        <f t="shared" si="168"/>
        <v>0</v>
      </c>
      <c r="Y130">
        <f t="shared" si="168"/>
        <v>0</v>
      </c>
      <c r="Z130">
        <f t="shared" si="168"/>
        <v>0</v>
      </c>
      <c r="AA130">
        <f t="shared" si="168"/>
        <v>0</v>
      </c>
      <c r="AB130">
        <f t="shared" si="168"/>
        <v>0</v>
      </c>
      <c r="AC130">
        <f t="shared" si="168"/>
        <v>0</v>
      </c>
      <c r="AD130">
        <f t="shared" si="168"/>
        <v>0</v>
      </c>
      <c r="AE130">
        <f t="shared" si="168"/>
        <v>0</v>
      </c>
      <c r="AF130">
        <f t="shared" si="168"/>
        <v>0</v>
      </c>
      <c r="AG130">
        <f t="shared" si="168"/>
        <v>0</v>
      </c>
      <c r="AH130">
        <f t="shared" si="168"/>
        <v>0</v>
      </c>
    </row>
    <row r="132" spans="1:84" x14ac:dyDescent="0.2">
      <c r="A132" s="463" t="str">
        <f>'1-zapasy'!A105</f>
        <v>skupina B8</v>
      </c>
      <c r="B132" s="464"/>
      <c r="C132" s="464"/>
      <c r="D132" s="464"/>
      <c r="E132" s="464"/>
      <c r="F132" s="28" t="s">
        <v>67</v>
      </c>
      <c r="G132" s="465" t="str">
        <f>A134</f>
        <v/>
      </c>
      <c r="H132" s="465"/>
      <c r="I132" s="465"/>
      <c r="J132" s="465"/>
      <c r="K132" s="465"/>
      <c r="L132" s="465"/>
      <c r="M132" s="465"/>
      <c r="N132" s="465" t="str">
        <f>E134</f>
        <v/>
      </c>
      <c r="O132" s="465"/>
      <c r="P132" s="465"/>
      <c r="Q132" s="465"/>
      <c r="R132" s="465"/>
      <c r="S132" s="465"/>
      <c r="T132" s="465"/>
      <c r="U132" s="465" t="str">
        <f>A135</f>
        <v/>
      </c>
      <c r="V132" s="465"/>
      <c r="W132" s="465"/>
      <c r="X132" s="465"/>
      <c r="Y132" s="465"/>
      <c r="Z132" s="465"/>
      <c r="AA132" s="465"/>
      <c r="AB132" s="465" t="str">
        <f>E135</f>
        <v/>
      </c>
      <c r="AC132" s="465"/>
      <c r="AD132" s="465"/>
      <c r="AE132" s="465"/>
      <c r="AF132" s="465"/>
      <c r="AG132" s="465"/>
      <c r="AH132" s="465"/>
      <c r="AJ132" s="465" t="s">
        <v>68</v>
      </c>
      <c r="AK132" s="465"/>
      <c r="AL132" s="465"/>
      <c r="AM132" s="465"/>
      <c r="AN132" s="465"/>
      <c r="AO132" s="465"/>
      <c r="AP132" s="465"/>
      <c r="AQ132" s="465"/>
      <c r="BX132" s="28" t="s">
        <v>69</v>
      </c>
    </row>
    <row r="133" spans="1:84" x14ac:dyDescent="0.2">
      <c r="A133" s="464"/>
      <c r="B133" s="464"/>
      <c r="C133" s="464"/>
      <c r="D133" s="464"/>
      <c r="E133" s="464"/>
      <c r="F133" s="28" t="s">
        <v>70</v>
      </c>
      <c r="G133" s="28" t="s">
        <v>71</v>
      </c>
      <c r="H133" s="28" t="s">
        <v>72</v>
      </c>
      <c r="I133" s="28" t="s">
        <v>73</v>
      </c>
      <c r="J133" s="28" t="s">
        <v>74</v>
      </c>
      <c r="K133" s="28" t="s">
        <v>75</v>
      </c>
      <c r="L133" s="28" t="s">
        <v>76</v>
      </c>
      <c r="M133" s="28" t="s">
        <v>77</v>
      </c>
      <c r="N133" s="28" t="s">
        <v>71</v>
      </c>
      <c r="O133" s="28" t="s">
        <v>72</v>
      </c>
      <c r="P133" s="28" t="s">
        <v>73</v>
      </c>
      <c r="Q133" s="28" t="s">
        <v>74</v>
      </c>
      <c r="R133" s="28" t="s">
        <v>75</v>
      </c>
      <c r="S133" s="28" t="s">
        <v>76</v>
      </c>
      <c r="T133" s="28" t="s">
        <v>77</v>
      </c>
      <c r="U133" s="28" t="s">
        <v>71</v>
      </c>
      <c r="V133" s="28" t="s">
        <v>72</v>
      </c>
      <c r="W133" s="28" t="s">
        <v>73</v>
      </c>
      <c r="X133" s="28" t="s">
        <v>74</v>
      </c>
      <c r="Y133" s="28" t="s">
        <v>75</v>
      </c>
      <c r="Z133" s="28" t="s">
        <v>76</v>
      </c>
      <c r="AA133" s="28" t="s">
        <v>77</v>
      </c>
      <c r="AB133" s="28" t="s">
        <v>71</v>
      </c>
      <c r="AC133" s="28" t="s">
        <v>72</v>
      </c>
      <c r="AD133" s="28" t="s">
        <v>73</v>
      </c>
      <c r="AE133" s="28" t="s">
        <v>74</v>
      </c>
      <c r="AF133" s="28" t="s">
        <v>75</v>
      </c>
      <c r="AG133" s="28" t="s">
        <v>76</v>
      </c>
      <c r="AH133" s="28" t="s">
        <v>77</v>
      </c>
      <c r="AK133" s="28" t="s">
        <v>71</v>
      </c>
      <c r="AL133" s="28" t="s">
        <v>72</v>
      </c>
      <c r="AM133" s="28" t="s">
        <v>73</v>
      </c>
      <c r="AN133" s="28" t="s">
        <v>74</v>
      </c>
      <c r="AO133" s="28" t="s">
        <v>75</v>
      </c>
      <c r="AP133" s="28" t="s">
        <v>76</v>
      </c>
      <c r="AQ133" s="28" t="s">
        <v>77</v>
      </c>
      <c r="AS133" s="28" t="s">
        <v>78</v>
      </c>
      <c r="AU133" s="28" t="s">
        <v>79</v>
      </c>
      <c r="AW133" s="28" t="s">
        <v>80</v>
      </c>
      <c r="AY133" s="28" t="s">
        <v>81</v>
      </c>
      <c r="BB133" s="28" t="s">
        <v>82</v>
      </c>
      <c r="BE133" s="28" t="s">
        <v>83</v>
      </c>
      <c r="BH133" s="28" t="s">
        <v>84</v>
      </c>
      <c r="BK133" s="28" t="s">
        <v>85</v>
      </c>
      <c r="BL133" s="28" t="s">
        <v>86</v>
      </c>
      <c r="BP133" s="28" t="s">
        <v>87</v>
      </c>
      <c r="BT133" s="28" t="s">
        <v>88</v>
      </c>
      <c r="BY133" s="28" t="s">
        <v>65</v>
      </c>
      <c r="BZ133" s="28" t="s">
        <v>89</v>
      </c>
      <c r="CA133" s="28" t="s">
        <v>58</v>
      </c>
      <c r="CB133" s="28" t="s">
        <v>90</v>
      </c>
      <c r="CC133" s="28" t="s">
        <v>51</v>
      </c>
      <c r="CD133" s="28" t="s">
        <v>53</v>
      </c>
      <c r="CE133" s="28" t="s">
        <v>91</v>
      </c>
    </row>
    <row r="134" spans="1:84" x14ac:dyDescent="0.2">
      <c r="A134" s="27" t="str">
        <f>'1-zapasy'!B107</f>
        <v/>
      </c>
      <c r="B134" s="220" t="str">
        <f>'1-zapasy'!I107</f>
        <v/>
      </c>
      <c r="C134" s="220" t="e">
        <f>'3-zapasy'!#REF!</f>
        <v>#REF!</v>
      </c>
      <c r="D134" s="220" t="str">
        <f>'1-zapasy'!J107</f>
        <v/>
      </c>
      <c r="E134" s="27" t="str">
        <f>'1-zapasy'!C107</f>
        <v/>
      </c>
      <c r="F134" s="28">
        <f>COUNTBLANK('1-zapasy'!I107:'1-zapasy'!J107)</f>
        <v>2</v>
      </c>
      <c r="G134" s="28">
        <f>IF(AND(F134=0,OR($A134=$G132,$E134=$G132)),1,0)</f>
        <v>0</v>
      </c>
      <c r="H134" s="28">
        <f>IF(AND(F134=0,OR(AND($A134=$G132,$B134&gt;$D134),AND($E134=$G132,$D134&gt;$B134))),1,0)</f>
        <v>0</v>
      </c>
      <c r="I134" s="28">
        <f t="shared" ref="I134:I139" si="169">IF(AND(F134=0,G134=1,$B134=$D134),1,0)</f>
        <v>0</v>
      </c>
      <c r="J134" s="28">
        <f>IF(AND(F134=0,OR(AND($A134=$G132,$B134&lt;$D134),AND($E134=$G132,$D134&lt;$B134))),1,0)</f>
        <v>0</v>
      </c>
      <c r="K134" s="28">
        <f>IF(F134&gt;0,0,IF($A134=$G132,$B134,IF($E134=$G132,$D134,0)))</f>
        <v>0</v>
      </c>
      <c r="L134" s="28">
        <f>IF(F134&gt;0,0,IF($A134=$G132,$D134,IF($E134=$G132,$B134,0)))</f>
        <v>0</v>
      </c>
      <c r="M134">
        <f t="shared" ref="M134:M139" si="170">(($H134*$B$10)+$I134)</f>
        <v>0</v>
      </c>
      <c r="N134">
        <f>IF(AND(F134=0,OR($A134=$N132,$E134=$N132)),1,0)</f>
        <v>0</v>
      </c>
      <c r="O134">
        <f>IF(AND(F134=0,OR(AND($A134=$N132,$B134&gt;$D134),AND($E134=$N132,$D134&gt;$B134))),1,0)</f>
        <v>0</v>
      </c>
      <c r="P134">
        <f t="shared" ref="P134:P139" si="171">IF(AND(F134=0,N134=1,$B134=$D134),1,0)</f>
        <v>0</v>
      </c>
      <c r="Q134">
        <f>IF(AND(F134=0,OR(AND($A134=$N132,$B134&lt;$D134),AND($E134=$N132,$D134&lt;$B134))),1,0)</f>
        <v>0</v>
      </c>
      <c r="R134">
        <f>IF(F134&gt;0,0,IF($A134=$N132,$B134,IF($E134=$N132,$D134,0)))</f>
        <v>0</v>
      </c>
      <c r="S134">
        <f>IF(F134&gt;0,0,IF($A134=$N132,$D134,IF($E134=$N132,$B134,0)))</f>
        <v>0</v>
      </c>
      <c r="T134">
        <f t="shared" ref="T134:T139" si="172">(($O134*$B$10)+$P134)</f>
        <v>0</v>
      </c>
      <c r="U134">
        <f>IF(AND(F134=0,OR($A134=$U132,$E134=$U132)),1,0)</f>
        <v>0</v>
      </c>
      <c r="V134">
        <f>IF(AND(F134=0,OR(AND($A134=$U132,$B134&gt;$D134),AND($E134=$U132,$D134&gt;$B134))),1,0)</f>
        <v>0</v>
      </c>
      <c r="W134">
        <f t="shared" ref="W134:W139" si="173">IF(AND(F134=0,U134=1,$B134=$D134),1,0)</f>
        <v>0</v>
      </c>
      <c r="X134">
        <f>IF(AND(F134=0,OR(AND($A134=$U132,$B134&lt;$D134),AND($E134=$U132,$D134&lt;$B134))),1,0)</f>
        <v>0</v>
      </c>
      <c r="Y134">
        <f>IF(F134&gt;0,0,IF($A134=$U132,$B134,IF($E134=$U132,$D134,0)))</f>
        <v>0</v>
      </c>
      <c r="Z134">
        <f>IF(F134&gt;0,0,IF($A134=$U132,$D134,IF($E134=$U132,$B134,0)))</f>
        <v>0</v>
      </c>
      <c r="AA134">
        <f t="shared" ref="AA134:AA139" si="174">(($V134*$B$10)+$W134)</f>
        <v>0</v>
      </c>
      <c r="AB134">
        <f>IF(AND(F134=0,OR($A134=$AB132,$E134=$AB132)),1,0)</f>
        <v>0</v>
      </c>
      <c r="AC134">
        <f>IF(AND(F134=0,OR(AND($A134=$AB132,$B134&gt;$D134),AND($E134=$AB132,$D134&gt;$B134))),1,0)</f>
        <v>0</v>
      </c>
      <c r="AD134">
        <f t="shared" ref="AD134:AD139" si="175">IF(AND(F134=0,AB134=1,$B134=$D134),1,0)</f>
        <v>0</v>
      </c>
      <c r="AE134">
        <f>IF(AND(F134=0,OR(AND($A134=$AB132,$B134&lt;$D134),AND($E134=$AB132,$D134&lt;$B134))),1,0)</f>
        <v>0</v>
      </c>
      <c r="AF134">
        <f>IF(F134&gt;0,0,IF($A134=$AB132,$B134,IF($E134=$AB132,$D134,0)))</f>
        <v>0</v>
      </c>
      <c r="AG134">
        <f>IF(F134&gt;0,0,IF($A134=$AB132,$D134,IF($E134=$AB132,$B134,0)))</f>
        <v>0</v>
      </c>
      <c r="AH134">
        <f t="shared" ref="AH134:AH139" si="176">(($AC134*$B$10)+$AD134)</f>
        <v>0</v>
      </c>
      <c r="AJ134" s="28" t="str">
        <f>G132</f>
        <v/>
      </c>
      <c r="AK134" s="28">
        <f t="shared" ref="AK134:AQ134" si="177">G140</f>
        <v>0</v>
      </c>
      <c r="AL134" s="28">
        <f t="shared" si="177"/>
        <v>0</v>
      </c>
      <c r="AM134" s="28">
        <f t="shared" si="177"/>
        <v>0</v>
      </c>
      <c r="AN134" s="28">
        <f t="shared" si="177"/>
        <v>0</v>
      </c>
      <c r="AO134" s="28">
        <f t="shared" si="177"/>
        <v>0</v>
      </c>
      <c r="AP134" s="28">
        <f t="shared" si="177"/>
        <v>0</v>
      </c>
      <c r="AQ134" s="28">
        <f t="shared" si="177"/>
        <v>0</v>
      </c>
      <c r="AS134" s="28" t="str">
        <f>IF($AQ134&gt;=$AQ135,$AJ134,$AJ135)</f>
        <v/>
      </c>
      <c r="AT134" s="28">
        <f>VLOOKUP(AS134,$AJ134:$AQ137,8,FALSE)</f>
        <v>0</v>
      </c>
      <c r="AU134" s="28" t="str">
        <f>IF($AT134&gt;=$AT136,$AS134,$AS136)</f>
        <v/>
      </c>
      <c r="AV134" s="28">
        <f>VLOOKUP(AU134,$AS134:$AT137,2,FALSE)</f>
        <v>0</v>
      </c>
      <c r="AW134" s="28" t="str">
        <f>IF($AV134&gt;=$AV137,$AU134,$AU137)</f>
        <v/>
      </c>
      <c r="AX134" s="28">
        <f>VLOOKUP(AW134,$AU134:$AV137,2,FALSE)</f>
        <v>0</v>
      </c>
      <c r="AY134" s="28">
        <f>VLOOKUP(AW134,$AJ134:$AQ137,6,FALSE)</f>
        <v>0</v>
      </c>
      <c r="AZ134" s="28">
        <f>VLOOKUP(AW134,$AJ134:$AQ137,7,FALSE)</f>
        <v>0</v>
      </c>
      <c r="BA134" s="28">
        <f>AY134-AZ134</f>
        <v>0</v>
      </c>
      <c r="BB134" s="28" t="str">
        <f>IF(AND($AX134=$AX135,$BA135&gt;$BA134),$AW135,$AW134)</f>
        <v/>
      </c>
      <c r="BC134" s="28">
        <f>VLOOKUP(BB134,$AW134:$BA137,2,FALSE)</f>
        <v>0</v>
      </c>
      <c r="BD134" s="28">
        <f>VLOOKUP(BB134,$AW134:$BA137,5,FALSE)</f>
        <v>0</v>
      </c>
      <c r="BE134" s="28" t="str">
        <f>IF(AND($BC134=$BC136,$BD136&gt;$BD134),$BB136,$BB134)</f>
        <v/>
      </c>
      <c r="BF134" s="28">
        <f>VLOOKUP(BE134,$BB134:$BD137,2,FALSE)</f>
        <v>0</v>
      </c>
      <c r="BG134" s="28">
        <f>VLOOKUP(BE134,$BB134:$BD137,3,FALSE)</f>
        <v>0</v>
      </c>
      <c r="BH134" s="28" t="str">
        <f>IF(AND($BF134=$BF137,$BG137&gt;$BG134),$BE137,$BE134)</f>
        <v/>
      </c>
      <c r="BI134" s="28">
        <f>VLOOKUP(BH134,$BE134:$BG137,2,FALSE)</f>
        <v>0</v>
      </c>
      <c r="BJ134" s="28">
        <f>VLOOKUP(BH134,$BE134:$BG137,3,FALSE)</f>
        <v>0</v>
      </c>
      <c r="BK134" s="28">
        <f>VLOOKUP(BH134,$AJ134:$AQ137,6,FALSE)</f>
        <v>0</v>
      </c>
      <c r="BL134" s="28" t="str">
        <f>IF(AND($BI134=$BI135,$BJ134=$BJ135,$BK135&gt;$BK134),$BH135,$BH134)</f>
        <v/>
      </c>
      <c r="BM134" s="28">
        <f>VLOOKUP(BL134,$BH134:$BK137,2,FALSE)</f>
        <v>0</v>
      </c>
      <c r="BN134" s="28">
        <f>VLOOKUP(BL134,$BH134:$BK137,3,FALSE)</f>
        <v>0</v>
      </c>
      <c r="BO134" s="28">
        <f>VLOOKUP(BL134,$BH134:$BK137,4,FALSE)</f>
        <v>0</v>
      </c>
      <c r="BP134" s="28" t="str">
        <f>IF(AND($BM134=$BM136,$BN134=$BN136,$BO136&gt;$BO134),$BL136,$BL134)</f>
        <v/>
      </c>
      <c r="BQ134" s="28">
        <f>VLOOKUP(BP134,$BL134:$BO137,2,FALSE)</f>
        <v>0</v>
      </c>
      <c r="BR134" s="28">
        <f>VLOOKUP(BP134,$BL134:$BO137,3,FALSE)</f>
        <v>0</v>
      </c>
      <c r="BS134" s="28">
        <f>VLOOKUP(BP134,$BL134:$BO137,4,FALSE)</f>
        <v>0</v>
      </c>
      <c r="BT134" s="28" t="str">
        <f>IF(AND($BQ134=$BQ137,$BR134=$BR137,$BS137&gt;$BS134),$BP137,$BP134)</f>
        <v/>
      </c>
      <c r="BU134" s="28">
        <f>VLOOKUP(BT134,$BP134:$BS137,2,FALSE)</f>
        <v>0</v>
      </c>
      <c r="BV134" s="28">
        <f>VLOOKUP(BT134,$BP134:$BS137,3,FALSE)</f>
        <v>0</v>
      </c>
      <c r="BW134" s="28">
        <f>VLOOKUP(BT134,$BP134:$BS137,4,FALSE)</f>
        <v>0</v>
      </c>
      <c r="BX134" s="28" t="str">
        <f>BT134</f>
        <v/>
      </c>
      <c r="BY134" s="28">
        <f>VLOOKUP($BX134,$AJ134:$AQ137,2,FALSE)</f>
        <v>0</v>
      </c>
      <c r="BZ134" s="28">
        <f>VLOOKUP($BX134,$AJ134:$AQ137,3,FALSE)</f>
        <v>0</v>
      </c>
      <c r="CA134" s="28">
        <f>VLOOKUP($BX134,$AJ134:$AQ137,4,FALSE)</f>
        <v>0</v>
      </c>
      <c r="CB134" s="28">
        <f>VLOOKUP($BX134,$AJ134:$AQ137,5,FALSE)</f>
        <v>0</v>
      </c>
      <c r="CC134" s="28">
        <f>VLOOKUP($BX134,$AJ134:$AQ137,6,FALSE)</f>
        <v>0</v>
      </c>
      <c r="CD134" s="28">
        <f>VLOOKUP($BX134,$AJ134:$AQ137,7,FALSE)</f>
        <v>0</v>
      </c>
      <c r="CE134" s="28">
        <f>VLOOKUP($BX134,$AJ134:$AQ137,8,FALSE)</f>
        <v>0</v>
      </c>
      <c r="CF134" s="128" t="str">
        <f>CONCATENATE(CC134,":",CD134)</f>
        <v>0:0</v>
      </c>
    </row>
    <row r="135" spans="1:84" x14ac:dyDescent="0.2">
      <c r="A135" s="27" t="str">
        <f>'1-zapasy'!B108</f>
        <v/>
      </c>
      <c r="B135" s="220" t="str">
        <f>'1-zapasy'!I108</f>
        <v/>
      </c>
      <c r="C135" s="220" t="e">
        <f>'3-zapasy'!#REF!</f>
        <v>#REF!</v>
      </c>
      <c r="D135" s="220" t="str">
        <f>'1-zapasy'!J108</f>
        <v/>
      </c>
      <c r="E135" s="27" t="str">
        <f>'1-zapasy'!C108</f>
        <v/>
      </c>
      <c r="F135" s="28">
        <f>COUNTBLANK('1-zapasy'!I108:'1-zapasy'!J108)</f>
        <v>2</v>
      </c>
      <c r="G135" s="28">
        <f>IF(AND(F135=0,OR($A135=$G132,$E135=$G132)),1,0)</f>
        <v>0</v>
      </c>
      <c r="H135" s="28">
        <f>IF(AND(F135=0,OR(AND($A135=$G132,$B135&gt;$D135),AND($E135=$G132,$D135&gt;$B135))),1,0)</f>
        <v>0</v>
      </c>
      <c r="I135" s="28">
        <f t="shared" si="169"/>
        <v>0</v>
      </c>
      <c r="J135" s="28">
        <f>IF(AND(F135=0,OR(AND($A135=$G132,$B135&lt;$D135),AND($E135=$G132,$D135&lt;$B135))),1,0)</f>
        <v>0</v>
      </c>
      <c r="K135" s="28">
        <f>IF(F135&gt;0,0,IF($A135=$G132,$B135,IF($E135=$G132,$D135,0)))</f>
        <v>0</v>
      </c>
      <c r="L135" s="28">
        <f>IF(F135&gt;0,0,IF($A135=$G132,$D135,IF($E135=$G132,$B135,0)))</f>
        <v>0</v>
      </c>
      <c r="M135">
        <f t="shared" si="170"/>
        <v>0</v>
      </c>
      <c r="N135">
        <f>IF(AND(F135=0,OR($A135=$N132,$E135=$N132)),1,0)</f>
        <v>0</v>
      </c>
      <c r="O135">
        <f>IF(AND(F135=0,OR(AND($A135=$N132,$B135&gt;$D135),AND($E135=$N132,$D135&gt;$B135))),1,0)</f>
        <v>0</v>
      </c>
      <c r="P135">
        <f t="shared" si="171"/>
        <v>0</v>
      </c>
      <c r="Q135">
        <f>IF(AND(F135=0,OR(AND($A135=$N132,$B135&lt;$D135),AND($E135=$N132,$D135&lt;$B135))),1,0)</f>
        <v>0</v>
      </c>
      <c r="R135">
        <f>IF(F135&gt;0,0,IF($A135=$N132,$B135,IF($E135=$N132,$D135,0)))</f>
        <v>0</v>
      </c>
      <c r="S135">
        <f>IF(F135&gt;0,0,IF($A135=$N132,$D135,IF($E135=$N132,$B135,0)))</f>
        <v>0</v>
      </c>
      <c r="T135">
        <f t="shared" si="172"/>
        <v>0</v>
      </c>
      <c r="U135">
        <f>IF(AND(F135=0,OR($A135=$U132,$E135=$U132)),1,0)</f>
        <v>0</v>
      </c>
      <c r="V135">
        <f>IF(AND(F135=0,OR(AND($A135=$U132,$B135&gt;$D135),AND($E135=$U132,$D135&gt;$B135))),1,0)</f>
        <v>0</v>
      </c>
      <c r="W135">
        <f t="shared" si="173"/>
        <v>0</v>
      </c>
      <c r="X135">
        <f>IF(AND(F135=0,OR(AND($A135=$U132,$B135&lt;$D135),AND($E135=$U132,$D135&lt;$B135))),1,0)</f>
        <v>0</v>
      </c>
      <c r="Y135">
        <f>IF(F135&gt;0,0,IF($A135=$U132,$B135,IF($E135=$U132,$D135,0)))</f>
        <v>0</v>
      </c>
      <c r="Z135">
        <f>IF(F135&gt;0,0,IF($A135=$U132,$D135,IF($E135=$U132,$B135,0)))</f>
        <v>0</v>
      </c>
      <c r="AA135">
        <f t="shared" si="174"/>
        <v>0</v>
      </c>
      <c r="AB135">
        <f>IF(AND(F135=0,OR($A135=$AB132,$E135=$AB132)),1,0)</f>
        <v>0</v>
      </c>
      <c r="AC135">
        <f>IF(AND(F135=0,OR(AND($A135=$AB132,$B135&gt;$D135),AND($E135=$AB132,$D135&gt;$B135))),1,0)</f>
        <v>0</v>
      </c>
      <c r="AD135">
        <f t="shared" si="175"/>
        <v>0</v>
      </c>
      <c r="AE135">
        <f>IF(AND(F135=0,OR(AND($A135=$AB132,$B135&lt;$D135),AND($E135=$AB132,$D135&lt;$B135))),1,0)</f>
        <v>0</v>
      </c>
      <c r="AF135">
        <f>IF(F135&gt;0,0,IF($A135=$AB132,$B135,IF($E135=$AB132,$D135,0)))</f>
        <v>0</v>
      </c>
      <c r="AG135">
        <f>IF(F135&gt;0,0,IF($A135=$AB132,$D135,IF($E135=$AB132,$B135,0)))</f>
        <v>0</v>
      </c>
      <c r="AH135">
        <f t="shared" si="176"/>
        <v>0</v>
      </c>
      <c r="AJ135" s="28" t="str">
        <f>N132</f>
        <v/>
      </c>
      <c r="AK135" s="28">
        <f t="shared" ref="AK135:AQ135" si="178">N140</f>
        <v>0</v>
      </c>
      <c r="AL135" s="28">
        <f t="shared" si="178"/>
        <v>0</v>
      </c>
      <c r="AM135" s="28">
        <f t="shared" si="178"/>
        <v>0</v>
      </c>
      <c r="AN135" s="28">
        <f t="shared" si="178"/>
        <v>0</v>
      </c>
      <c r="AO135" s="28">
        <f t="shared" si="178"/>
        <v>0</v>
      </c>
      <c r="AP135" s="28">
        <f t="shared" si="178"/>
        <v>0</v>
      </c>
      <c r="AQ135" s="28">
        <f t="shared" si="178"/>
        <v>0</v>
      </c>
      <c r="AS135" s="28" t="str">
        <f>IF($AQ135&lt;=$AQ134,$AJ135,$AJ134)</f>
        <v/>
      </c>
      <c r="AT135" s="28">
        <f>VLOOKUP(AS135,$AJ134:$AQ137,8,FALSE)</f>
        <v>0</v>
      </c>
      <c r="AU135" s="28" t="str">
        <f>IF($AT135&gt;=$AT137,$AS135,$AS137)</f>
        <v/>
      </c>
      <c r="AV135" s="28">
        <f>VLOOKUP(AU135,$AS134:$AT137,2,FALSE)</f>
        <v>0</v>
      </c>
      <c r="AW135" s="28" t="str">
        <f>IF($AV135&gt;=$AV136,$AU135,$AU136)</f>
        <v/>
      </c>
      <c r="AX135" s="28">
        <f>VLOOKUP(AW135,$AU134:$AV137,2,FALSE)</f>
        <v>0</v>
      </c>
      <c r="AY135" s="28">
        <f>VLOOKUP(AW135,$AJ134:$AQ137,6,FALSE)</f>
        <v>0</v>
      </c>
      <c r="AZ135" s="28">
        <f>VLOOKUP(AW135,$AJ134:$AQ137,7,FALSE)</f>
        <v>0</v>
      </c>
      <c r="BA135" s="28">
        <f>AY135-AZ135</f>
        <v>0</v>
      </c>
      <c r="BB135" s="28" t="str">
        <f>IF(AND($AX134=$AX135,$BA135&gt;$BA134),$AW134,$AW135)</f>
        <v/>
      </c>
      <c r="BC135" s="28">
        <f>VLOOKUP(BB135,$AW134:$BA137,2,FALSE)</f>
        <v>0</v>
      </c>
      <c r="BD135" s="28">
        <f>VLOOKUP(BB135,$AW134:$BA137,5,FALSE)</f>
        <v>0</v>
      </c>
      <c r="BE135" s="28" t="str">
        <f>IF(AND($BC135=$BC137,$BD137&gt;$BD135),$BB137,$BB135)</f>
        <v/>
      </c>
      <c r="BF135" s="28">
        <f>VLOOKUP(BE135,$BB134:$BD137,2,FALSE)</f>
        <v>0</v>
      </c>
      <c r="BG135" s="28">
        <f>VLOOKUP(BE135,$BB134:$BD137,3,FALSE)</f>
        <v>0</v>
      </c>
      <c r="BH135" s="28" t="str">
        <f>IF(AND($BF135=$BF136,$BG136&gt;$BG135),$BE136,$BE135)</f>
        <v/>
      </c>
      <c r="BI135" s="28">
        <f>VLOOKUP(BH135,$BE134:$BG137,2,FALSE)</f>
        <v>0</v>
      </c>
      <c r="BJ135" s="28">
        <f>VLOOKUP(BH135,$BE134:$BG137,3,FALSE)</f>
        <v>0</v>
      </c>
      <c r="BK135" s="28">
        <f>VLOOKUP(BH135,$AJ134:$AQ137,6,FALSE)</f>
        <v>0</v>
      </c>
      <c r="BL135" s="28" t="str">
        <f>IF(AND($BI134=$BI135,$BJ134=$BJ135,$BK135&gt;$BK134),$BH134,$BH135)</f>
        <v/>
      </c>
      <c r="BM135" s="28">
        <f>VLOOKUP(BL135,$BH134:$BK137,2,FALSE)</f>
        <v>0</v>
      </c>
      <c r="BN135" s="28">
        <f>VLOOKUP(BL135,$BH134:$BK137,3,FALSE)</f>
        <v>0</v>
      </c>
      <c r="BO135" s="28">
        <f>VLOOKUP(BL135,$BH134:$BK137,4,FALSE)</f>
        <v>0</v>
      </c>
      <c r="BP135" s="28" t="str">
        <f>IF(AND($BM135=$BM137,$BN135=$BN137,$BO137&gt;$BO135),$BL137,$BL135)</f>
        <v/>
      </c>
      <c r="BQ135" s="28">
        <f>VLOOKUP(BP135,$BL134:$BO137,2,FALSE)</f>
        <v>0</v>
      </c>
      <c r="BR135" s="28">
        <f>VLOOKUP(BP135,$BL134:$BO137,3,FALSE)</f>
        <v>0</v>
      </c>
      <c r="BS135" s="28">
        <f>VLOOKUP(BP135,$BL134:$BO137,4,FALSE)</f>
        <v>0</v>
      </c>
      <c r="BT135" s="28" t="str">
        <f>IF(AND($BQ135=$BQ136,$BR135=$BR136,$BS136&gt;$BS135),$BP136,$BP135)</f>
        <v/>
      </c>
      <c r="BU135" s="28">
        <f>VLOOKUP(BT135,$BP134:$BS137,2,FALSE)</f>
        <v>0</v>
      </c>
      <c r="BV135" s="28">
        <f>VLOOKUP(BT135,$BP134:$BS137,3,FALSE)</f>
        <v>0</v>
      </c>
      <c r="BW135" s="28">
        <f>VLOOKUP(BT135,$BP134:$BS137,4,FALSE)</f>
        <v>0</v>
      </c>
      <c r="BX135" s="28" t="str">
        <f>BT135</f>
        <v/>
      </c>
      <c r="BY135" s="28">
        <f>VLOOKUP($BX135,$AJ134:$AQ137,2,FALSE)</f>
        <v>0</v>
      </c>
      <c r="BZ135" s="28">
        <f>VLOOKUP($BX135,$AJ134:$AQ137,3,FALSE)</f>
        <v>0</v>
      </c>
      <c r="CA135" s="28">
        <f>VLOOKUP($BX135,$AJ134:$AQ137,4,FALSE)</f>
        <v>0</v>
      </c>
      <c r="CB135" s="28">
        <f>VLOOKUP($BX135,$AJ134:$AQ137,5,FALSE)</f>
        <v>0</v>
      </c>
      <c r="CC135" s="28">
        <f>VLOOKUP($BX135,$AJ134:$AQ137,6,FALSE)</f>
        <v>0</v>
      </c>
      <c r="CD135" s="28">
        <f>VLOOKUP($BX135,$AJ134:$AQ137,7,FALSE)</f>
        <v>0</v>
      </c>
      <c r="CE135" s="28">
        <f>VLOOKUP($BX135,$AJ134:$AQ137,8,FALSE)</f>
        <v>0</v>
      </c>
      <c r="CF135" s="128" t="str">
        <f>CONCATENATE(CC135,":",CD135)</f>
        <v>0:0</v>
      </c>
    </row>
    <row r="136" spans="1:84" x14ac:dyDescent="0.2">
      <c r="A136" s="27" t="str">
        <f>'1-zapasy'!B109</f>
        <v/>
      </c>
      <c r="B136" s="220" t="str">
        <f>'1-zapasy'!I109</f>
        <v/>
      </c>
      <c r="C136" s="220" t="e">
        <f>'3-zapasy'!#REF!</f>
        <v>#REF!</v>
      </c>
      <c r="D136" s="220" t="str">
        <f>'1-zapasy'!J109</f>
        <v/>
      </c>
      <c r="E136" s="27" t="str">
        <f>'1-zapasy'!C109</f>
        <v/>
      </c>
      <c r="F136" s="28">
        <f>COUNTBLANK('1-zapasy'!I109:'1-zapasy'!J109)</f>
        <v>2</v>
      </c>
      <c r="G136" s="28">
        <f>IF(AND(F136=0,OR($A136=$G132,$E136=$G132)),1,0)</f>
        <v>0</v>
      </c>
      <c r="H136" s="28">
        <f>IF(AND(F136=0,OR(AND($A136=$G132,$B136&gt;$D136),AND($E136=$G132,$D136&gt;$B136))),1,0)</f>
        <v>0</v>
      </c>
      <c r="I136" s="28">
        <f t="shared" si="169"/>
        <v>0</v>
      </c>
      <c r="J136" s="28">
        <f>IF(AND(F136=0,OR(AND($A136=$G132,$B136&lt;$D136),AND($E136=$G132,$D136&lt;$B136))),1,0)</f>
        <v>0</v>
      </c>
      <c r="K136" s="28">
        <f>IF(F136&gt;0,0,IF($A136=$G132,$B136,IF($E136=$G132,$D136,0)))</f>
        <v>0</v>
      </c>
      <c r="L136" s="28">
        <f>IF(F136&gt;0,0,IF($A136=$G132,$D136,IF($E136=$G132,$B136,0)))</f>
        <v>0</v>
      </c>
      <c r="M136">
        <f t="shared" si="170"/>
        <v>0</v>
      </c>
      <c r="N136">
        <f>IF(AND(F136=0,OR($A136=$N132,$E136=$N132)),1,0)</f>
        <v>0</v>
      </c>
      <c r="O136">
        <f>IF(AND(F136=0,OR(AND($A136=$N132,$B136&gt;$D136),AND($E136=$N132,$D136&gt;$B136))),1,0)</f>
        <v>0</v>
      </c>
      <c r="P136">
        <f t="shared" si="171"/>
        <v>0</v>
      </c>
      <c r="Q136">
        <f>IF(AND(F136=0,OR(AND($A136=$N132,$B136&lt;$D136),AND($E136=$N132,$D136&lt;$B136))),1,0)</f>
        <v>0</v>
      </c>
      <c r="R136">
        <f>IF(F136&gt;0,0,IF($A136=$N132,$B136,IF($E136=$N132,$D136,0)))</f>
        <v>0</v>
      </c>
      <c r="S136">
        <f>IF(F136&gt;0,0,IF($A136=$N132,$D136,IF($E136=$N132,$B136,0)))</f>
        <v>0</v>
      </c>
      <c r="T136">
        <f t="shared" si="172"/>
        <v>0</v>
      </c>
      <c r="U136">
        <f>IF(AND(F136=0,OR($A136=$U132,$E136=$U132)),1,0)</f>
        <v>0</v>
      </c>
      <c r="V136">
        <f>IF(AND(F136=0,OR(AND($A136=$U132,$B136&gt;$D136),AND($E136=$U132,$D136&gt;$B136))),1,0)</f>
        <v>0</v>
      </c>
      <c r="W136">
        <f t="shared" si="173"/>
        <v>0</v>
      </c>
      <c r="X136">
        <f>IF(AND(F136=0,OR(AND($A136=$U132,$B136&lt;$D136),AND($E136=$U132,$D136&lt;$B136))),1,0)</f>
        <v>0</v>
      </c>
      <c r="Y136">
        <f>IF(F136&gt;0,0,IF($A136=$U132,$B136,IF($E136=$U132,$D136,0)))</f>
        <v>0</v>
      </c>
      <c r="Z136">
        <f>IF(F136&gt;0,0,IF($A136=$U132,$D136,IF($E136=$U132,$B136,0)))</f>
        <v>0</v>
      </c>
      <c r="AA136">
        <f t="shared" si="174"/>
        <v>0</v>
      </c>
      <c r="AB136">
        <f>IF(AND(F136=0,OR($A136=$AB132,$E136=$AB132)),1,0)</f>
        <v>0</v>
      </c>
      <c r="AC136">
        <f>IF(AND(F136=0,OR(AND($A136=$AB132,$B136&gt;$D136),AND($E136=$AB132,$D136&gt;$B136))),1,0)</f>
        <v>0</v>
      </c>
      <c r="AD136">
        <f t="shared" si="175"/>
        <v>0</v>
      </c>
      <c r="AE136">
        <f>IF(AND(F136=0,OR(AND($A136=$AB132,$B136&lt;$D136),AND($E136=$AB132,$D136&lt;$B136))),1,0)</f>
        <v>0</v>
      </c>
      <c r="AF136">
        <f>IF(F136&gt;0,0,IF($A136=$AB132,$B136,IF($E136=$AB132,$D136,0)))</f>
        <v>0</v>
      </c>
      <c r="AG136">
        <f>IF(F136&gt;0,0,IF($A136=$AB132,$D136,IF($E136=$AB132,$B136,0)))</f>
        <v>0</v>
      </c>
      <c r="AH136">
        <f t="shared" si="176"/>
        <v>0</v>
      </c>
      <c r="AJ136" s="28" t="str">
        <f>U132</f>
        <v/>
      </c>
      <c r="AK136" s="28">
        <f t="shared" ref="AK136:AQ136" si="179">U140</f>
        <v>0</v>
      </c>
      <c r="AL136" s="28">
        <f t="shared" si="179"/>
        <v>0</v>
      </c>
      <c r="AM136" s="28">
        <f t="shared" si="179"/>
        <v>0</v>
      </c>
      <c r="AN136" s="28">
        <f t="shared" si="179"/>
        <v>0</v>
      </c>
      <c r="AO136" s="28">
        <f t="shared" si="179"/>
        <v>0</v>
      </c>
      <c r="AP136" s="28">
        <f t="shared" si="179"/>
        <v>0</v>
      </c>
      <c r="AQ136" s="28">
        <f t="shared" si="179"/>
        <v>0</v>
      </c>
      <c r="AS136" s="28" t="str">
        <f>IF($AQ136&gt;=$AQ137,$AJ136,$AJ137)</f>
        <v/>
      </c>
      <c r="AT136" s="28">
        <f>VLOOKUP(AS136,$AJ134:$AQ137,8,FALSE)</f>
        <v>0</v>
      </c>
      <c r="AU136" s="28" t="str">
        <f>IF($AT136&lt;=$AT134,$AS136,$AS134)</f>
        <v/>
      </c>
      <c r="AV136" s="28">
        <f>VLOOKUP(AU136,$AS134:$AT137,2,FALSE)</f>
        <v>0</v>
      </c>
      <c r="AW136" s="28" t="str">
        <f>IF($AV136&lt;=$AV135,$AU136,$AU135)</f>
        <v/>
      </c>
      <c r="AX136" s="28">
        <f>VLOOKUP(AW136,$AU134:$AV137,2,FALSE)</f>
        <v>0</v>
      </c>
      <c r="AY136" s="28">
        <f>VLOOKUP(AW136,$AJ134:$AQ137,6,FALSE)</f>
        <v>0</v>
      </c>
      <c r="AZ136" s="28">
        <f>VLOOKUP(AW136,$AJ134:$AQ137,7,FALSE)</f>
        <v>0</v>
      </c>
      <c r="BA136" s="28">
        <f>AY136-AZ136</f>
        <v>0</v>
      </c>
      <c r="BB136" s="28" t="str">
        <f>IF(AND($AX136=$AX137,$BA137&gt;$BA136),$AW137,$AW136)</f>
        <v/>
      </c>
      <c r="BC136" s="28">
        <f>VLOOKUP(BB136,$AW134:$BA137,2,FALSE)</f>
        <v>0</v>
      </c>
      <c r="BD136" s="28">
        <f>VLOOKUP(BB136,$AW134:$BA137,5,FALSE)</f>
        <v>0</v>
      </c>
      <c r="BE136" s="28" t="str">
        <f>IF(AND($BC134=$BC136,$BD136&gt;$BD134),$BB134,$BB136)</f>
        <v/>
      </c>
      <c r="BF136" s="28">
        <f>VLOOKUP(BE136,$BB134:$BD137,2,FALSE)</f>
        <v>0</v>
      </c>
      <c r="BG136" s="28">
        <f>VLOOKUP(BE136,$BB134:$BD137,3,FALSE)</f>
        <v>0</v>
      </c>
      <c r="BH136" s="28" t="str">
        <f>IF(AND($BF135=$BF136,$BG136&gt;$BG135),$BE135,$BE136)</f>
        <v/>
      </c>
      <c r="BI136" s="28">
        <f>VLOOKUP(BH136,$BE134:$BG137,2,FALSE)</f>
        <v>0</v>
      </c>
      <c r="BJ136" s="28">
        <f>VLOOKUP(BH136,$BE134:$BG137,3,FALSE)</f>
        <v>0</v>
      </c>
      <c r="BK136" s="28">
        <f>VLOOKUP(BH136,$AJ134:$AQ137,6,FALSE)</f>
        <v>0</v>
      </c>
      <c r="BL136" s="28" t="str">
        <f>IF(AND($BI136=$BI137,$BJ136=$BJ137,$BK137&gt;$BK136),$BH137,$BH136)</f>
        <v/>
      </c>
      <c r="BM136" s="28">
        <f>VLOOKUP(BL136,$BH134:$BK137,2,FALSE)</f>
        <v>0</v>
      </c>
      <c r="BN136" s="28">
        <f>VLOOKUP(BL136,$BH134:$BK137,3,FALSE)</f>
        <v>0</v>
      </c>
      <c r="BO136" s="28">
        <f>VLOOKUP(BL136,$BH134:$BK137,4,FALSE)</f>
        <v>0</v>
      </c>
      <c r="BP136" s="28" t="str">
        <f>IF(AND($BM134=$BM136,$BN134=$BN136,$BO136&gt;$BO134),$BL134,$BL136)</f>
        <v/>
      </c>
      <c r="BQ136" s="28">
        <f>VLOOKUP(BP136,$BL134:$BO137,2,FALSE)</f>
        <v>0</v>
      </c>
      <c r="BR136" s="28">
        <f>VLOOKUP(BP136,$BL134:$BO137,3,FALSE)</f>
        <v>0</v>
      </c>
      <c r="BS136" s="28">
        <f>VLOOKUP(BP136,$BL134:$BO137,4,FALSE)</f>
        <v>0</v>
      </c>
      <c r="BT136" s="28" t="str">
        <f>IF(AND($BQ135=$BQ136,$BR135=$BR136,$BS136&gt;$BS135),$BP135,$BP136)</f>
        <v/>
      </c>
      <c r="BU136" s="28">
        <f>VLOOKUP(BT136,$BP134:$BS137,2,FALSE)</f>
        <v>0</v>
      </c>
      <c r="BV136" s="28">
        <f>VLOOKUP(BT136,$BP134:$BS137,3,FALSE)</f>
        <v>0</v>
      </c>
      <c r="BW136" s="28">
        <f>VLOOKUP(BT136,$BP134:$BS137,4,FALSE)</f>
        <v>0</v>
      </c>
      <c r="BX136" s="28" t="str">
        <f>BT136</f>
        <v/>
      </c>
      <c r="BY136" s="28">
        <f>VLOOKUP($BX136,$AJ134:$AQ137,2,FALSE)</f>
        <v>0</v>
      </c>
      <c r="BZ136" s="28">
        <f>VLOOKUP($BX136,$AJ134:$AQ137,3,FALSE)</f>
        <v>0</v>
      </c>
      <c r="CA136" s="28">
        <f>VLOOKUP($BX136,$AJ134:$AQ137,4,FALSE)</f>
        <v>0</v>
      </c>
      <c r="CB136" s="28">
        <f>VLOOKUP($BX136,$AJ134:$AQ137,5,FALSE)</f>
        <v>0</v>
      </c>
      <c r="CC136" s="28">
        <f>VLOOKUP($BX136,$AJ134:$AQ137,6,FALSE)</f>
        <v>0</v>
      </c>
      <c r="CD136" s="28">
        <f>VLOOKUP($BX136,$AJ134:$AQ137,7,FALSE)</f>
        <v>0</v>
      </c>
      <c r="CE136" s="28">
        <f>VLOOKUP($BX136,$AJ134:$AQ137,8,FALSE)</f>
        <v>0</v>
      </c>
      <c r="CF136" s="128" t="str">
        <f>CONCATENATE(CC136,":",CD136)</f>
        <v>0:0</v>
      </c>
    </row>
    <row r="137" spans="1:84" x14ac:dyDescent="0.2">
      <c r="A137" s="27" t="str">
        <f>'1-zapasy'!B110</f>
        <v/>
      </c>
      <c r="B137" s="220" t="str">
        <f>'1-zapasy'!I110</f>
        <v/>
      </c>
      <c r="C137" s="220" t="e">
        <f>'3-zapasy'!#REF!</f>
        <v>#REF!</v>
      </c>
      <c r="D137" s="220" t="str">
        <f>'1-zapasy'!J110</f>
        <v/>
      </c>
      <c r="E137" s="27" t="str">
        <f>'1-zapasy'!C110</f>
        <v/>
      </c>
      <c r="F137" s="28">
        <f>COUNTBLANK('1-zapasy'!I110:'1-zapasy'!J110)</f>
        <v>2</v>
      </c>
      <c r="G137" s="28">
        <f>IF(AND(F137=0,OR($A137=$G132,$E137=$G132)),1,0)</f>
        <v>0</v>
      </c>
      <c r="H137" s="28">
        <f>IF(AND(F137=0,OR(AND($A137=$G132,$B137&gt;$D137),AND($E137=$G132,$D137&gt;$B137))),1,0)</f>
        <v>0</v>
      </c>
      <c r="I137" s="28">
        <f t="shared" si="169"/>
        <v>0</v>
      </c>
      <c r="J137" s="28">
        <f>IF(AND(F137=0,OR(AND($A137=$G132,$B137&lt;$D137),AND($E137=$G132,$D137&lt;$B137))),1,0)</f>
        <v>0</v>
      </c>
      <c r="K137" s="28">
        <f>IF(F137&gt;0,0,IF($A137=$G132,$B137,IF($E137=$G132,$D137,0)))</f>
        <v>0</v>
      </c>
      <c r="L137" s="28">
        <f>IF(F137&gt;0,0,IF($A137=$G132,$D137,IF($E137=$G132,$B137,0)))</f>
        <v>0</v>
      </c>
      <c r="M137">
        <f t="shared" si="170"/>
        <v>0</v>
      </c>
      <c r="N137">
        <f>IF(AND(F137=0,OR($A137=$N132,$E137=$N132)),1,0)</f>
        <v>0</v>
      </c>
      <c r="O137">
        <f>IF(AND(F137=0,OR(AND($A137=$N132,$B137&gt;$D137),AND($E137=$N132,$D137&gt;$B137))),1,0)</f>
        <v>0</v>
      </c>
      <c r="P137">
        <f t="shared" si="171"/>
        <v>0</v>
      </c>
      <c r="Q137">
        <f>IF(AND(F137=0,OR(AND($A137=$N132,$B137&lt;$D137),AND($E137=$N132,$D137&lt;$B137))),1,0)</f>
        <v>0</v>
      </c>
      <c r="R137">
        <f>IF(F137&gt;0,0,IF($A137=$N132,$B137,IF($E137=$N132,$D137,0)))</f>
        <v>0</v>
      </c>
      <c r="S137">
        <f>IF(F137&gt;0,0,IF($A137=$N132,$D137,IF($E137=$N132,$B137,0)))</f>
        <v>0</v>
      </c>
      <c r="T137">
        <f t="shared" si="172"/>
        <v>0</v>
      </c>
      <c r="U137">
        <f>IF(AND(F137=0,OR($A137=$U132,$E137=$U132)),1,0)</f>
        <v>0</v>
      </c>
      <c r="V137">
        <f>IF(AND(F137=0,OR(AND($A137=$U132,$B137&gt;$D137),AND($E137=$U132,$D137&gt;$B137))),1,0)</f>
        <v>0</v>
      </c>
      <c r="W137">
        <f t="shared" si="173"/>
        <v>0</v>
      </c>
      <c r="X137">
        <f>IF(AND(F137=0,OR(AND($A137=$U132,$B137&lt;$D137),AND($E137=$U132,$D137&lt;$B137))),1,0)</f>
        <v>0</v>
      </c>
      <c r="Y137">
        <f>IF(F137&gt;0,0,IF($A137=$U132,$B137,IF($E137=$U132,$D137,0)))</f>
        <v>0</v>
      </c>
      <c r="Z137">
        <f>IF(F137&gt;0,0,IF($A137=$U132,$D137,IF($E137=$U132,$B137,0)))</f>
        <v>0</v>
      </c>
      <c r="AA137">
        <f t="shared" si="174"/>
        <v>0</v>
      </c>
      <c r="AB137">
        <f>IF(AND(F137=0,OR($A137=$AB132,$E137=$AB132)),1,0)</f>
        <v>0</v>
      </c>
      <c r="AC137">
        <f>IF(AND(F137=0,OR(AND($A137=$AB132,$B137&gt;$D137),AND($E137=$AB132,$D137&gt;$B137))),1,0)</f>
        <v>0</v>
      </c>
      <c r="AD137">
        <f t="shared" si="175"/>
        <v>0</v>
      </c>
      <c r="AE137">
        <f>IF(AND(F137=0,OR(AND($A137=$AB132,$B137&lt;$D137),AND($E137=$AB132,$D137&lt;$B137))),1,0)</f>
        <v>0</v>
      </c>
      <c r="AF137">
        <f>IF(F137&gt;0,0,IF($A137=$AB132,$B137,IF($E137=$AB132,$D137,0)))</f>
        <v>0</v>
      </c>
      <c r="AG137">
        <f>IF(F137&gt;0,0,IF($A137=$AB132,$D137,IF($E137=$AB132,$B137,0)))</f>
        <v>0</v>
      </c>
      <c r="AH137">
        <f t="shared" si="176"/>
        <v>0</v>
      </c>
      <c r="AJ137" s="28" t="str">
        <f>AB132</f>
        <v/>
      </c>
      <c r="AK137" s="28">
        <f t="shared" ref="AK137:AQ137" si="180">AB140</f>
        <v>0</v>
      </c>
      <c r="AL137" s="28">
        <f t="shared" si="180"/>
        <v>0</v>
      </c>
      <c r="AM137" s="28">
        <f t="shared" si="180"/>
        <v>0</v>
      </c>
      <c r="AN137" s="28">
        <f t="shared" si="180"/>
        <v>0</v>
      </c>
      <c r="AO137" s="28">
        <f t="shared" si="180"/>
        <v>0</v>
      </c>
      <c r="AP137" s="28">
        <f t="shared" si="180"/>
        <v>0</v>
      </c>
      <c r="AQ137" s="28">
        <f t="shared" si="180"/>
        <v>0</v>
      </c>
      <c r="AS137" s="28" t="str">
        <f>IF($AQ137&lt;=$AQ136,$AJ137,$AJ136)</f>
        <v/>
      </c>
      <c r="AT137" s="28">
        <f>VLOOKUP(AS137,$AJ134:$AQ137,8,FALSE)</f>
        <v>0</v>
      </c>
      <c r="AU137" s="28" t="str">
        <f>IF($AT137&lt;=$AT135,$AS137,$AS135)</f>
        <v/>
      </c>
      <c r="AV137" s="28">
        <f>VLOOKUP(AU137,$AS134:$AT137,2,FALSE)</f>
        <v>0</v>
      </c>
      <c r="AW137" s="28" t="str">
        <f>IF($AV137&lt;=$AV134,$AU137,$AU134)</f>
        <v/>
      </c>
      <c r="AX137" s="28">
        <f>VLOOKUP(AW137,$AU134:$AV137,2,FALSE)</f>
        <v>0</v>
      </c>
      <c r="AY137" s="28">
        <f>VLOOKUP(AW137,$AJ134:$AQ137,6,FALSE)</f>
        <v>0</v>
      </c>
      <c r="AZ137" s="28">
        <f>VLOOKUP(AW137,$AJ134:$AQ137,7,FALSE)</f>
        <v>0</v>
      </c>
      <c r="BA137" s="28">
        <f>AY137-AZ137</f>
        <v>0</v>
      </c>
      <c r="BB137" s="28" t="str">
        <f>IF(AND($AX136=$AX137,$BA137&gt;$BA136),$AW136,$AW137)</f>
        <v/>
      </c>
      <c r="BC137" s="28">
        <f>VLOOKUP(BB137,$AW134:$BA137,2,FALSE)</f>
        <v>0</v>
      </c>
      <c r="BD137" s="28">
        <f>VLOOKUP(BB137,$AW134:$BA137,5,FALSE)</f>
        <v>0</v>
      </c>
      <c r="BE137" s="28" t="str">
        <f>IF(AND($BC135=$BC137,$BD137&gt;$BD135),$BB135,$BB137)</f>
        <v/>
      </c>
      <c r="BF137" s="28">
        <f>VLOOKUP(BE137,$BB134:$BD137,2,FALSE)</f>
        <v>0</v>
      </c>
      <c r="BG137" s="28">
        <f>VLOOKUP(BE137,$BB134:$BD137,3,FALSE)</f>
        <v>0</v>
      </c>
      <c r="BH137" s="28" t="str">
        <f>IF(AND($BF134=$BF137,$BG137&gt;$BG134),$BE134,$BE137)</f>
        <v/>
      </c>
      <c r="BI137" s="28">
        <f>VLOOKUP(BH137,$BE134:$BG137,2,FALSE)</f>
        <v>0</v>
      </c>
      <c r="BJ137" s="28">
        <f>VLOOKUP(BH137,$BE134:$BG137,3,FALSE)</f>
        <v>0</v>
      </c>
      <c r="BK137" s="28">
        <f>VLOOKUP(BH137,$AJ134:$AQ137,6,FALSE)</f>
        <v>0</v>
      </c>
      <c r="BL137" s="28" t="str">
        <f>IF(AND($BI136=$BI137,$BJ136=$BJ137,$BK137&gt;$BK136),$BH136,$BH137)</f>
        <v/>
      </c>
      <c r="BM137" s="28">
        <f>VLOOKUP(BL137,$BH134:$BK137,2,FALSE)</f>
        <v>0</v>
      </c>
      <c r="BN137" s="28">
        <f>VLOOKUP(BL137,$BH134:$BK137,3,FALSE)</f>
        <v>0</v>
      </c>
      <c r="BO137" s="28">
        <f>VLOOKUP(BL137,$BH134:$BK137,4,FALSE)</f>
        <v>0</v>
      </c>
      <c r="BP137" s="28" t="str">
        <f>IF(AND($BM135=$BM137,$BN135=$BN137,$BO137&gt;$BO135),$BL135,$BL137)</f>
        <v/>
      </c>
      <c r="BQ137" s="28">
        <f>VLOOKUP(BP137,$BL134:$BO137,2,FALSE)</f>
        <v>0</v>
      </c>
      <c r="BR137" s="28">
        <f>VLOOKUP(BP137,$BL134:$BO137,3,FALSE)</f>
        <v>0</v>
      </c>
      <c r="BS137" s="28">
        <f>VLOOKUP(BP137,$BL134:$BO137,4,FALSE)</f>
        <v>0</v>
      </c>
      <c r="BT137" s="28" t="str">
        <f>IF(AND($BQ134=$BQ137,$BR134=$BR137,$BS137&gt;$BS134),$BP134,$BP137)</f>
        <v/>
      </c>
      <c r="BU137" s="28">
        <f>VLOOKUP(BT137,$BP134:$BS137,2,FALSE)</f>
        <v>0</v>
      </c>
      <c r="BV137" s="28">
        <f>VLOOKUP(BT137,$BP134:$BS137,3,FALSE)</f>
        <v>0</v>
      </c>
      <c r="BW137" s="28">
        <f>VLOOKUP(BT137,$BP134:$BS137,4,FALSE)</f>
        <v>0</v>
      </c>
      <c r="BX137" s="28" t="str">
        <f>BT137</f>
        <v/>
      </c>
      <c r="BY137" s="28">
        <f>VLOOKUP($BX137,$AJ134:$AQ137,2,FALSE)</f>
        <v>0</v>
      </c>
      <c r="BZ137" s="28">
        <f>VLOOKUP($BX137,$AJ134:$AQ137,3,FALSE)</f>
        <v>0</v>
      </c>
      <c r="CA137" s="28">
        <f>VLOOKUP($BX137,$AJ134:$AQ137,4,FALSE)</f>
        <v>0</v>
      </c>
      <c r="CB137" s="28">
        <f>VLOOKUP($BX137,$AJ134:$AQ137,5,FALSE)</f>
        <v>0</v>
      </c>
      <c r="CC137" s="28">
        <f>VLOOKUP($BX137,$AJ134:$AQ137,6,FALSE)</f>
        <v>0</v>
      </c>
      <c r="CD137" s="28">
        <f>VLOOKUP($BX137,$AJ134:$AQ137,7,FALSE)</f>
        <v>0</v>
      </c>
      <c r="CE137" s="28">
        <f>VLOOKUP($BX137,$AJ134:$AQ137,8,FALSE)</f>
        <v>0</v>
      </c>
      <c r="CF137" s="128" t="str">
        <f>CONCATENATE(CC137,":",CD137)</f>
        <v>0:0</v>
      </c>
    </row>
    <row r="138" spans="1:84" x14ac:dyDescent="0.2">
      <c r="A138" s="27" t="str">
        <f>'1-zapasy'!B111</f>
        <v/>
      </c>
      <c r="B138" s="220" t="str">
        <f>'1-zapasy'!I111</f>
        <v/>
      </c>
      <c r="C138" s="220" t="e">
        <f>'3-zapasy'!#REF!</f>
        <v>#REF!</v>
      </c>
      <c r="D138" s="220" t="str">
        <f>'1-zapasy'!J111</f>
        <v/>
      </c>
      <c r="E138" s="27" t="str">
        <f>'1-zapasy'!C111</f>
        <v/>
      </c>
      <c r="F138" s="28">
        <f>COUNTBLANK('1-zapasy'!I111:'1-zapasy'!J111)</f>
        <v>2</v>
      </c>
      <c r="G138" s="28">
        <f>IF(AND(F138=0,OR($A138=$G132,$E138=$G132)),1,0)</f>
        <v>0</v>
      </c>
      <c r="H138" s="28">
        <f>IF(AND(F138=0,OR(AND($A138=$G132,$B138&gt;$D138),AND($E138=$G132,$D138&gt;$B138))),1,0)</f>
        <v>0</v>
      </c>
      <c r="I138" s="28">
        <f t="shared" si="169"/>
        <v>0</v>
      </c>
      <c r="J138" s="28">
        <f>IF(AND(F138=0,OR(AND($A138=$G132,$B138&lt;$D138),AND($E138=$G132,$D138&lt;$B138))),1,0)</f>
        <v>0</v>
      </c>
      <c r="K138" s="28">
        <f>IF(F138&gt;0,0,IF($A138=$G132,$B138,IF($E138=$G132,$D138,0)))</f>
        <v>0</v>
      </c>
      <c r="L138" s="28">
        <f>IF(F138&gt;0,0,IF($A138=$G132,$D138,IF($E138=$G132,$B138,0)))</f>
        <v>0</v>
      </c>
      <c r="M138">
        <f t="shared" si="170"/>
        <v>0</v>
      </c>
      <c r="N138">
        <f>IF(AND(F138=0,OR($A138=$N132,$E138=$N132)),1,0)</f>
        <v>0</v>
      </c>
      <c r="O138">
        <f>IF(AND(F138=0,OR(AND($A138=$N132,$B138&gt;$D138),AND($E138=$N132,$D138&gt;$B138))),1,0)</f>
        <v>0</v>
      </c>
      <c r="P138">
        <f t="shared" si="171"/>
        <v>0</v>
      </c>
      <c r="Q138">
        <f>IF(AND(F138=0,OR(AND($A138=$N132,$B138&lt;$D138),AND($E138=$N132,$D138&lt;$B138))),1,0)</f>
        <v>0</v>
      </c>
      <c r="R138">
        <f>IF(F138&gt;0,0,IF($A138=$N132,$B138,IF($E138=$N132,$D138,0)))</f>
        <v>0</v>
      </c>
      <c r="S138">
        <f>IF(F138&gt;0,0,IF($A138=$N132,$D138,IF($E138=$N132,$B138,0)))</f>
        <v>0</v>
      </c>
      <c r="T138">
        <f t="shared" si="172"/>
        <v>0</v>
      </c>
      <c r="U138">
        <f>IF(AND(F138=0,OR($A138=$U132,$E138=$U132)),1,0)</f>
        <v>0</v>
      </c>
      <c r="V138">
        <f>IF(AND(F138=0,OR(AND($A138=$U132,$B138&gt;$D138),AND($E138=$U132,$D138&gt;$B138))),1,0)</f>
        <v>0</v>
      </c>
      <c r="W138">
        <f t="shared" si="173"/>
        <v>0</v>
      </c>
      <c r="X138">
        <f>IF(AND(F138=0,OR(AND($A138=$U132,$B138&lt;$D138),AND($E138=$U132,$D138&lt;$B138))),1,0)</f>
        <v>0</v>
      </c>
      <c r="Y138">
        <f>IF(F138&gt;0,0,IF($A138=$U132,$B138,IF($E138=$U132,$D138,0)))</f>
        <v>0</v>
      </c>
      <c r="Z138">
        <f>IF(F138&gt;0,0,IF($A138=$U132,$D138,IF($E138=$U132,$B138,0)))</f>
        <v>0</v>
      </c>
      <c r="AA138">
        <f t="shared" si="174"/>
        <v>0</v>
      </c>
      <c r="AB138">
        <f>IF(AND(F138=0,OR($A138=$AB132,$E138=$AB132)),1,0)</f>
        <v>0</v>
      </c>
      <c r="AC138">
        <f>IF(AND(F138=0,OR(AND($A138=$AB132,$B138&gt;$D138),AND($E138=$AB132,$D138&gt;$B138))),1,0)</f>
        <v>0</v>
      </c>
      <c r="AD138">
        <f t="shared" si="175"/>
        <v>0</v>
      </c>
      <c r="AE138">
        <f>IF(AND(F138=0,OR(AND($A138=$AB132,$B138&lt;$D138),AND($E138=$AB132,$D138&lt;$B138))),1,0)</f>
        <v>0</v>
      </c>
      <c r="AF138">
        <f>IF(F138&gt;0,0,IF($A138=$AB132,$B138,IF($E138=$AB132,$D138,0)))</f>
        <v>0</v>
      </c>
      <c r="AG138">
        <f>IF(F138&gt;0,0,IF($A138=$AB132,$D138,IF($E138=$AB132,$B138,0)))</f>
        <v>0</v>
      </c>
      <c r="AH138">
        <f t="shared" si="176"/>
        <v>0</v>
      </c>
    </row>
    <row r="139" spans="1:84" x14ac:dyDescent="0.2">
      <c r="A139" s="27" t="str">
        <f>'1-zapasy'!B112</f>
        <v/>
      </c>
      <c r="B139" s="220" t="str">
        <f>'1-zapasy'!I112</f>
        <v/>
      </c>
      <c r="C139" s="220" t="e">
        <f>'3-zapasy'!#REF!</f>
        <v>#REF!</v>
      </c>
      <c r="D139" s="220" t="str">
        <f>'1-zapasy'!J112</f>
        <v/>
      </c>
      <c r="E139" s="27" t="str">
        <f>'1-zapasy'!C112</f>
        <v/>
      </c>
      <c r="F139" s="28">
        <f>COUNTBLANK('1-zapasy'!I112:'1-zapasy'!J112)</f>
        <v>2</v>
      </c>
      <c r="G139" s="28">
        <f>IF(AND(F139=0,OR($A139=$G132,$E139=$G132)),1,0)</f>
        <v>0</v>
      </c>
      <c r="H139" s="28">
        <f>IF(AND(F139=0,OR(AND($A139=$G132,$B139&gt;$D139),AND($E139=$G132,$D139&gt;$B139))),1,0)</f>
        <v>0</v>
      </c>
      <c r="I139" s="28">
        <f t="shared" si="169"/>
        <v>0</v>
      </c>
      <c r="J139" s="28">
        <f>IF(AND(F139=0,OR(AND($A139=$G132,$B139&lt;$D139),AND($E139=$G132,$D139&lt;$B139))),1,0)</f>
        <v>0</v>
      </c>
      <c r="K139" s="28">
        <f>IF(F139&gt;0,0,IF($A139=$G132,$B139,IF($E139=$G132,$D139,0)))</f>
        <v>0</v>
      </c>
      <c r="L139" s="28">
        <f>IF(F139&gt;0,0,IF($A139=$G132,$D139,IF($E139=$G132,$B139,0)))</f>
        <v>0</v>
      </c>
      <c r="M139">
        <f t="shared" si="170"/>
        <v>0</v>
      </c>
      <c r="N139">
        <f>IF(AND(F139=0,OR($A139=$N132,$E139=$N132)),1,0)</f>
        <v>0</v>
      </c>
      <c r="O139">
        <f>IF(AND(F139=0,OR(AND($A139=$N132,$B139&gt;$D139),AND($E139=$N132,$D139&gt;$B139))),1,0)</f>
        <v>0</v>
      </c>
      <c r="P139">
        <f t="shared" si="171"/>
        <v>0</v>
      </c>
      <c r="Q139">
        <f>IF(AND(F139=0,OR(AND($A139=$N132,$B139&lt;$D139),AND($E139=$N132,$D139&lt;$B139))),1,0)</f>
        <v>0</v>
      </c>
      <c r="R139">
        <f>IF(F139&gt;0,0,IF($A139=$N132,$B139,IF($E139=$N132,$D139,0)))</f>
        <v>0</v>
      </c>
      <c r="S139">
        <f>IF(F139&gt;0,0,IF($A139=$N132,$D139,IF($E139=$N132,$B139,0)))</f>
        <v>0</v>
      </c>
      <c r="T139">
        <f t="shared" si="172"/>
        <v>0</v>
      </c>
      <c r="U139">
        <f>IF(AND(F139=0,OR($A139=$U132,$E139=$U132)),1,0)</f>
        <v>0</v>
      </c>
      <c r="V139">
        <f>IF(AND(F139=0,OR(AND($A139=$U132,$B139&gt;$D139),AND($E139=$U132,$D139&gt;$B139))),1,0)</f>
        <v>0</v>
      </c>
      <c r="W139">
        <f t="shared" si="173"/>
        <v>0</v>
      </c>
      <c r="X139">
        <f>IF(AND(F139=0,OR(AND($A139=$U132,$B139&lt;$D139),AND($E139=$U132,$D139&lt;$B139))),1,0)</f>
        <v>0</v>
      </c>
      <c r="Y139">
        <f>IF(F139&gt;0,0,IF($A139=$U132,$B139,IF($E139=$U132,$D139,0)))</f>
        <v>0</v>
      </c>
      <c r="Z139">
        <f>IF(F139&gt;0,0,IF($A139=$U132,$D139,IF($E139=$U132,$B139,0)))</f>
        <v>0</v>
      </c>
      <c r="AA139">
        <f t="shared" si="174"/>
        <v>0</v>
      </c>
      <c r="AB139">
        <f>IF(AND(F139=0,OR($A139=$AB132,$E139=$AB132)),1,0)</f>
        <v>0</v>
      </c>
      <c r="AC139">
        <f>IF(AND(F139=0,OR(AND($A139=$AB132,$B139&gt;$D139),AND($E139=$AB132,$D139&gt;$B139))),1,0)</f>
        <v>0</v>
      </c>
      <c r="AD139">
        <f t="shared" si="175"/>
        <v>0</v>
      </c>
      <c r="AE139">
        <f>IF(AND(F139=0,OR(AND($A139=$AB132,$B139&lt;$D139),AND($E139=$AB132,$D139&lt;$B139))),1,0)</f>
        <v>0</v>
      </c>
      <c r="AF139">
        <f>IF(F139&gt;0,0,IF($A139=$AB132,$B139,IF($E139=$AB132,$D139,0)))</f>
        <v>0</v>
      </c>
      <c r="AG139">
        <f>IF(F139&gt;0,0,IF($A139=$AB132,$D139,IF($E139=$AB132,$B139,0)))</f>
        <v>0</v>
      </c>
      <c r="AH139">
        <f t="shared" si="176"/>
        <v>0</v>
      </c>
    </row>
    <row r="140" spans="1:84" x14ac:dyDescent="0.2">
      <c r="G140" s="28">
        <f t="shared" ref="G140:AH140" si="181">SUM(G134:G139)</f>
        <v>0</v>
      </c>
      <c r="H140" s="28">
        <f t="shared" si="181"/>
        <v>0</v>
      </c>
      <c r="I140" s="28">
        <f t="shared" si="181"/>
        <v>0</v>
      </c>
      <c r="J140" s="28">
        <f t="shared" si="181"/>
        <v>0</v>
      </c>
      <c r="K140" s="28">
        <f t="shared" si="181"/>
        <v>0</v>
      </c>
      <c r="L140" s="28">
        <f t="shared" si="181"/>
        <v>0</v>
      </c>
      <c r="M140">
        <f t="shared" si="181"/>
        <v>0</v>
      </c>
      <c r="N140">
        <f t="shared" si="181"/>
        <v>0</v>
      </c>
      <c r="O140">
        <f t="shared" si="181"/>
        <v>0</v>
      </c>
      <c r="P140">
        <f t="shared" si="181"/>
        <v>0</v>
      </c>
      <c r="Q140">
        <f t="shared" si="181"/>
        <v>0</v>
      </c>
      <c r="R140">
        <f t="shared" si="181"/>
        <v>0</v>
      </c>
      <c r="S140">
        <f t="shared" si="181"/>
        <v>0</v>
      </c>
      <c r="T140">
        <f t="shared" si="181"/>
        <v>0</v>
      </c>
      <c r="U140">
        <f t="shared" si="181"/>
        <v>0</v>
      </c>
      <c r="V140">
        <f t="shared" si="181"/>
        <v>0</v>
      </c>
      <c r="W140">
        <f t="shared" si="181"/>
        <v>0</v>
      </c>
      <c r="X140">
        <f t="shared" si="181"/>
        <v>0</v>
      </c>
      <c r="Y140">
        <f t="shared" si="181"/>
        <v>0</v>
      </c>
      <c r="Z140">
        <f t="shared" si="181"/>
        <v>0</v>
      </c>
      <c r="AA140">
        <f t="shared" si="181"/>
        <v>0</v>
      </c>
      <c r="AB140">
        <f t="shared" si="181"/>
        <v>0</v>
      </c>
      <c r="AC140">
        <f t="shared" si="181"/>
        <v>0</v>
      </c>
      <c r="AD140">
        <f t="shared" si="181"/>
        <v>0</v>
      </c>
      <c r="AE140">
        <f t="shared" si="181"/>
        <v>0</v>
      </c>
      <c r="AF140">
        <f t="shared" si="181"/>
        <v>0</v>
      </c>
      <c r="AG140">
        <f t="shared" si="181"/>
        <v>0</v>
      </c>
      <c r="AH140">
        <f t="shared" si="181"/>
        <v>0</v>
      </c>
    </row>
    <row r="142" spans="1:84" x14ac:dyDescent="0.2">
      <c r="A142" s="463" t="str">
        <f>'1-zapasy'!A113</f>
        <v>skupina B9</v>
      </c>
      <c r="B142" s="464"/>
      <c r="C142" s="464"/>
      <c r="D142" s="464"/>
      <c r="E142" s="464"/>
      <c r="F142" s="28" t="s">
        <v>67</v>
      </c>
      <c r="G142" s="465" t="str">
        <f>A144</f>
        <v/>
      </c>
      <c r="H142" s="465"/>
      <c r="I142" s="465"/>
      <c r="J142" s="465"/>
      <c r="K142" s="465"/>
      <c r="L142" s="465"/>
      <c r="M142" s="465"/>
      <c r="N142" s="465" t="str">
        <f>E144</f>
        <v/>
      </c>
      <c r="O142" s="465"/>
      <c r="P142" s="465"/>
      <c r="Q142" s="465"/>
      <c r="R142" s="465"/>
      <c r="S142" s="465"/>
      <c r="T142" s="465"/>
      <c r="U142" s="465" t="str">
        <f>A145</f>
        <v/>
      </c>
      <c r="V142" s="465"/>
      <c r="W142" s="465"/>
      <c r="X142" s="465"/>
      <c r="Y142" s="465"/>
      <c r="Z142" s="465"/>
      <c r="AA142" s="465"/>
      <c r="AB142" s="465" t="str">
        <f>E145</f>
        <v/>
      </c>
      <c r="AC142" s="465"/>
      <c r="AD142" s="465"/>
      <c r="AE142" s="465"/>
      <c r="AF142" s="465"/>
      <c r="AG142" s="465"/>
      <c r="AH142" s="465"/>
      <c r="AJ142" s="465" t="s">
        <v>68</v>
      </c>
      <c r="AK142" s="465"/>
      <c r="AL142" s="465"/>
      <c r="AM142" s="465"/>
      <c r="AN142" s="465"/>
      <c r="AO142" s="465"/>
      <c r="AP142" s="465"/>
      <c r="AQ142" s="465"/>
      <c r="BX142" s="28" t="s">
        <v>69</v>
      </c>
    </row>
    <row r="143" spans="1:84" x14ac:dyDescent="0.2">
      <c r="A143" s="464"/>
      <c r="B143" s="464"/>
      <c r="C143" s="464"/>
      <c r="D143" s="464"/>
      <c r="E143" s="464"/>
      <c r="F143" s="28" t="s">
        <v>70</v>
      </c>
      <c r="G143" s="28" t="s">
        <v>71</v>
      </c>
      <c r="H143" s="28" t="s">
        <v>72</v>
      </c>
      <c r="I143" s="28" t="s">
        <v>73</v>
      </c>
      <c r="J143" s="28" t="s">
        <v>74</v>
      </c>
      <c r="K143" s="28" t="s">
        <v>75</v>
      </c>
      <c r="L143" s="28" t="s">
        <v>76</v>
      </c>
      <c r="M143" s="28" t="s">
        <v>77</v>
      </c>
      <c r="N143" s="28" t="s">
        <v>71</v>
      </c>
      <c r="O143" s="28" t="s">
        <v>72</v>
      </c>
      <c r="P143" s="28" t="s">
        <v>73</v>
      </c>
      <c r="Q143" s="28" t="s">
        <v>74</v>
      </c>
      <c r="R143" s="28" t="s">
        <v>75</v>
      </c>
      <c r="S143" s="28" t="s">
        <v>76</v>
      </c>
      <c r="T143" s="28" t="s">
        <v>77</v>
      </c>
      <c r="U143" s="28" t="s">
        <v>71</v>
      </c>
      <c r="V143" s="28" t="s">
        <v>72</v>
      </c>
      <c r="W143" s="28" t="s">
        <v>73</v>
      </c>
      <c r="X143" s="28" t="s">
        <v>74</v>
      </c>
      <c r="Y143" s="28" t="s">
        <v>75</v>
      </c>
      <c r="Z143" s="28" t="s">
        <v>76</v>
      </c>
      <c r="AA143" s="28" t="s">
        <v>77</v>
      </c>
      <c r="AB143" s="28" t="s">
        <v>71</v>
      </c>
      <c r="AC143" s="28" t="s">
        <v>72</v>
      </c>
      <c r="AD143" s="28" t="s">
        <v>73</v>
      </c>
      <c r="AE143" s="28" t="s">
        <v>74</v>
      </c>
      <c r="AF143" s="28" t="s">
        <v>75</v>
      </c>
      <c r="AG143" s="28" t="s">
        <v>76</v>
      </c>
      <c r="AH143" s="28" t="s">
        <v>77</v>
      </c>
      <c r="AK143" s="28" t="s">
        <v>71</v>
      </c>
      <c r="AL143" s="28" t="s">
        <v>72</v>
      </c>
      <c r="AM143" s="28" t="s">
        <v>73</v>
      </c>
      <c r="AN143" s="28" t="s">
        <v>74</v>
      </c>
      <c r="AO143" s="28" t="s">
        <v>75</v>
      </c>
      <c r="AP143" s="28" t="s">
        <v>76</v>
      </c>
      <c r="AQ143" s="28" t="s">
        <v>77</v>
      </c>
      <c r="AS143" s="28" t="s">
        <v>78</v>
      </c>
      <c r="AU143" s="28" t="s">
        <v>79</v>
      </c>
      <c r="AW143" s="28" t="s">
        <v>80</v>
      </c>
      <c r="AY143" s="28" t="s">
        <v>81</v>
      </c>
      <c r="BB143" s="28" t="s">
        <v>82</v>
      </c>
      <c r="BE143" s="28" t="s">
        <v>83</v>
      </c>
      <c r="BH143" s="28" t="s">
        <v>84</v>
      </c>
      <c r="BK143" s="28" t="s">
        <v>85</v>
      </c>
      <c r="BL143" s="28" t="s">
        <v>86</v>
      </c>
      <c r="BP143" s="28" t="s">
        <v>87</v>
      </c>
      <c r="BT143" s="28" t="s">
        <v>88</v>
      </c>
      <c r="BY143" s="28" t="s">
        <v>65</v>
      </c>
      <c r="BZ143" s="28" t="s">
        <v>89</v>
      </c>
      <c r="CA143" s="28" t="s">
        <v>58</v>
      </c>
      <c r="CB143" s="28" t="s">
        <v>90</v>
      </c>
      <c r="CC143" s="28" t="s">
        <v>51</v>
      </c>
      <c r="CD143" s="28" t="s">
        <v>53</v>
      </c>
      <c r="CE143" s="28" t="s">
        <v>91</v>
      </c>
    </row>
    <row r="144" spans="1:84" x14ac:dyDescent="0.2">
      <c r="A144" s="27" t="str">
        <f>'1-zapasy'!B115</f>
        <v/>
      </c>
      <c r="B144" s="220" t="str">
        <f>'1-zapasy'!I115</f>
        <v/>
      </c>
      <c r="C144" s="220" t="e">
        <f>'3-zapasy'!#REF!</f>
        <v>#REF!</v>
      </c>
      <c r="D144" s="220" t="str">
        <f>'1-zapasy'!J115</f>
        <v/>
      </c>
      <c r="E144" s="27" t="str">
        <f>'1-zapasy'!C115</f>
        <v/>
      </c>
      <c r="F144" s="28">
        <f>COUNTBLANK('1-zapasy'!I115:'1-zapasy'!J115)</f>
        <v>2</v>
      </c>
      <c r="G144" s="28">
        <f>IF(AND(F144=0,OR($A144=$G142,$E144=$G142)),1,0)</f>
        <v>0</v>
      </c>
      <c r="H144" s="28">
        <f>IF(AND(F144=0,OR(AND($A144=$G142,$B144&gt;$D144),AND($E144=$G142,$D144&gt;$B144))),1,0)</f>
        <v>0</v>
      </c>
      <c r="I144" s="28">
        <f t="shared" ref="I144:I149" si="182">IF(AND(F144=0,G144=1,$B144=$D144),1,0)</f>
        <v>0</v>
      </c>
      <c r="J144" s="28">
        <f>IF(AND(F144=0,OR(AND($A144=$G142,$B144&lt;$D144),AND($E144=$G142,$D144&lt;$B144))),1,0)</f>
        <v>0</v>
      </c>
      <c r="K144" s="28">
        <f>IF(F144&gt;0,0,IF($A144=$G142,$B144,IF($E144=$G142,$D144,0)))</f>
        <v>0</v>
      </c>
      <c r="L144" s="28">
        <f>IF(F144&gt;0,0,IF($A144=$G142,$D144,IF($E144=$G142,$B144,0)))</f>
        <v>0</v>
      </c>
      <c r="M144">
        <f t="shared" ref="M144:M149" si="183">(($H144*$B$10)+$I144)</f>
        <v>0</v>
      </c>
      <c r="N144">
        <f>IF(AND(F144=0,OR($A144=$N142,$E144=$N142)),1,0)</f>
        <v>0</v>
      </c>
      <c r="O144">
        <f>IF(AND(F144=0,OR(AND($A144=$N142,$B144&gt;$D144),AND($E144=$N142,$D144&gt;$B144))),1,0)</f>
        <v>0</v>
      </c>
      <c r="P144">
        <f t="shared" ref="P144:P149" si="184">IF(AND(F144=0,N144=1,$B144=$D144),1,0)</f>
        <v>0</v>
      </c>
      <c r="Q144">
        <f>IF(AND(F144=0,OR(AND($A144=$N142,$B144&lt;$D144),AND($E144=$N142,$D144&lt;$B144))),1,0)</f>
        <v>0</v>
      </c>
      <c r="R144">
        <f>IF(F144&gt;0,0,IF($A144=$N142,$B144,IF($E144=$N142,$D144,0)))</f>
        <v>0</v>
      </c>
      <c r="S144">
        <f>IF(F144&gt;0,0,IF($A144=$N142,$D144,IF($E144=$N142,$B144,0)))</f>
        <v>0</v>
      </c>
      <c r="T144">
        <f t="shared" ref="T144:T149" si="185">(($O144*$B$10)+$P144)</f>
        <v>0</v>
      </c>
      <c r="U144">
        <f>IF(AND(F144=0,OR($A144=$U142,$E144=$U142)),1,0)</f>
        <v>0</v>
      </c>
      <c r="V144">
        <f>IF(AND(F144=0,OR(AND($A144=$U142,$B144&gt;$D144),AND($E144=$U142,$D144&gt;$B144))),1,0)</f>
        <v>0</v>
      </c>
      <c r="W144">
        <f t="shared" ref="W144:W149" si="186">IF(AND(F144=0,U144=1,$B144=$D144),1,0)</f>
        <v>0</v>
      </c>
      <c r="X144">
        <f>IF(AND(F144=0,OR(AND($A144=$U142,$B144&lt;$D144),AND($E144=$U142,$D144&lt;$B144))),1,0)</f>
        <v>0</v>
      </c>
      <c r="Y144">
        <f>IF(F144&gt;0,0,IF($A144=$U142,$B144,IF($E144=$U142,$D144,0)))</f>
        <v>0</v>
      </c>
      <c r="Z144">
        <f>IF(F144&gt;0,0,IF($A144=$U142,$D144,IF($E144=$U142,$B144,0)))</f>
        <v>0</v>
      </c>
      <c r="AA144">
        <f t="shared" ref="AA144:AA149" si="187">(($V144*$B$10)+$W144)</f>
        <v>0</v>
      </c>
      <c r="AB144">
        <f>IF(AND(F144=0,OR($A144=$AB142,$E144=$AB142)),1,0)</f>
        <v>0</v>
      </c>
      <c r="AC144">
        <f>IF(AND(F144=0,OR(AND($A144=$AB142,$B144&gt;$D144),AND($E144=$AB142,$D144&gt;$B144))),1,0)</f>
        <v>0</v>
      </c>
      <c r="AD144">
        <f t="shared" ref="AD144:AD149" si="188">IF(AND(F144=0,AB144=1,$B144=$D144),1,0)</f>
        <v>0</v>
      </c>
      <c r="AE144">
        <f>IF(AND(F144=0,OR(AND($A144=$AB142,$B144&lt;$D144),AND($E144=$AB142,$D144&lt;$B144))),1,0)</f>
        <v>0</v>
      </c>
      <c r="AF144">
        <f>IF(F144&gt;0,0,IF($A144=$AB142,$B144,IF($E144=$AB142,$D144,0)))</f>
        <v>0</v>
      </c>
      <c r="AG144">
        <f>IF(F144&gt;0,0,IF($A144=$AB142,$D144,IF($E144=$AB142,$B144,0)))</f>
        <v>0</v>
      </c>
      <c r="AH144">
        <f t="shared" ref="AH144:AH149" si="189">(($AC144*$B$10)+$AD144)</f>
        <v>0</v>
      </c>
      <c r="AJ144" s="28" t="str">
        <f>G142</f>
        <v/>
      </c>
      <c r="AK144" s="28">
        <f t="shared" ref="AK144:AQ144" si="190">G150</f>
        <v>0</v>
      </c>
      <c r="AL144" s="28">
        <f t="shared" si="190"/>
        <v>0</v>
      </c>
      <c r="AM144" s="28">
        <f t="shared" si="190"/>
        <v>0</v>
      </c>
      <c r="AN144" s="28">
        <f t="shared" si="190"/>
        <v>0</v>
      </c>
      <c r="AO144" s="28">
        <f t="shared" si="190"/>
        <v>0</v>
      </c>
      <c r="AP144" s="28">
        <f t="shared" si="190"/>
        <v>0</v>
      </c>
      <c r="AQ144" s="28">
        <f t="shared" si="190"/>
        <v>0</v>
      </c>
      <c r="AS144" s="28" t="str">
        <f>IF($AQ144&gt;=$AQ145,$AJ144,$AJ145)</f>
        <v/>
      </c>
      <c r="AT144" s="28">
        <f>VLOOKUP(AS144,$AJ144:$AQ147,8,FALSE)</f>
        <v>0</v>
      </c>
      <c r="AU144" s="28" t="str">
        <f>IF($AT144&gt;=$AT146,$AS144,$AS146)</f>
        <v/>
      </c>
      <c r="AV144" s="28">
        <f>VLOOKUP(AU144,$AS144:$AT147,2,FALSE)</f>
        <v>0</v>
      </c>
      <c r="AW144" s="28" t="str">
        <f>IF($AV144&gt;=$AV147,$AU144,$AU147)</f>
        <v/>
      </c>
      <c r="AX144" s="28">
        <f>VLOOKUP(AW144,$AU144:$AV147,2,FALSE)</f>
        <v>0</v>
      </c>
      <c r="AY144" s="28">
        <f>VLOOKUP(AW144,$AJ144:$AQ147,6,FALSE)</f>
        <v>0</v>
      </c>
      <c r="AZ144" s="28">
        <f>VLOOKUP(AW144,$AJ144:$AQ147,7,FALSE)</f>
        <v>0</v>
      </c>
      <c r="BA144" s="28">
        <f>AY144-AZ144</f>
        <v>0</v>
      </c>
      <c r="BB144" s="28" t="str">
        <f>IF(AND($AX144=$AX145,$BA145&gt;$BA144),$AW145,$AW144)</f>
        <v/>
      </c>
      <c r="BC144" s="28">
        <f>VLOOKUP(BB144,$AW144:$BA147,2,FALSE)</f>
        <v>0</v>
      </c>
      <c r="BD144" s="28">
        <f>VLOOKUP(BB144,$AW144:$BA147,5,FALSE)</f>
        <v>0</v>
      </c>
      <c r="BE144" s="28" t="str">
        <f>IF(AND($BC144=$BC146,$BD146&gt;$BD144),$BB146,$BB144)</f>
        <v/>
      </c>
      <c r="BF144" s="28">
        <f>VLOOKUP(BE144,$BB144:$BD147,2,FALSE)</f>
        <v>0</v>
      </c>
      <c r="BG144" s="28">
        <f>VLOOKUP(BE144,$BB144:$BD147,3,FALSE)</f>
        <v>0</v>
      </c>
      <c r="BH144" s="28" t="str">
        <f>IF(AND($BF144=$BF147,$BG147&gt;$BG144),$BE147,$BE144)</f>
        <v/>
      </c>
      <c r="BI144" s="28">
        <f>VLOOKUP(BH144,$BE144:$BG147,2,FALSE)</f>
        <v>0</v>
      </c>
      <c r="BJ144" s="28">
        <f>VLOOKUP(BH144,$BE144:$BG147,3,FALSE)</f>
        <v>0</v>
      </c>
      <c r="BK144" s="28">
        <f>VLOOKUP(BH144,$AJ144:$AQ147,6,FALSE)</f>
        <v>0</v>
      </c>
      <c r="BL144" s="28" t="str">
        <f>IF(AND($BI144=$BI145,$BJ144=$BJ145,$BK145&gt;$BK144),$BH145,$BH144)</f>
        <v/>
      </c>
      <c r="BM144" s="28">
        <f>VLOOKUP(BL144,$BH144:$BK147,2,FALSE)</f>
        <v>0</v>
      </c>
      <c r="BN144" s="28">
        <f>VLOOKUP(BL144,$BH144:$BK147,3,FALSE)</f>
        <v>0</v>
      </c>
      <c r="BO144" s="28">
        <f>VLOOKUP(BL144,$BH144:$BK147,4,FALSE)</f>
        <v>0</v>
      </c>
      <c r="BP144" s="28" t="str">
        <f>IF(AND($BM144=$BM146,$BN144=$BN146,$BO146&gt;$BO144),$BL146,$BL144)</f>
        <v/>
      </c>
      <c r="BQ144" s="28">
        <f>VLOOKUP(BP144,$BL144:$BO147,2,FALSE)</f>
        <v>0</v>
      </c>
      <c r="BR144" s="28">
        <f>VLOOKUP(BP144,$BL144:$BO147,3,FALSE)</f>
        <v>0</v>
      </c>
      <c r="BS144" s="28">
        <f>VLOOKUP(BP144,$BL144:$BO147,4,FALSE)</f>
        <v>0</v>
      </c>
      <c r="BT144" s="28" t="str">
        <f>IF(AND($BQ144=$BQ147,$BR144=$BR147,$BS147&gt;$BS144),$BP147,$BP144)</f>
        <v/>
      </c>
      <c r="BU144" s="28">
        <f>VLOOKUP(BT144,$BP144:$BS147,2,FALSE)</f>
        <v>0</v>
      </c>
      <c r="BV144" s="28">
        <f>VLOOKUP(BT144,$BP144:$BS147,3,FALSE)</f>
        <v>0</v>
      </c>
      <c r="BW144" s="28">
        <f>VLOOKUP(BT144,$BP144:$BS147,4,FALSE)</f>
        <v>0</v>
      </c>
      <c r="BX144" s="28" t="str">
        <f>BT144</f>
        <v/>
      </c>
      <c r="BY144" s="28">
        <f>VLOOKUP($BX144,$AJ144:$AQ147,2,FALSE)</f>
        <v>0</v>
      </c>
      <c r="BZ144" s="28">
        <f>VLOOKUP($BX144,$AJ144:$AQ147,3,FALSE)</f>
        <v>0</v>
      </c>
      <c r="CA144" s="28">
        <f>VLOOKUP($BX144,$AJ144:$AQ147,4,FALSE)</f>
        <v>0</v>
      </c>
      <c r="CB144" s="28">
        <f>VLOOKUP($BX144,$AJ144:$AQ147,5,FALSE)</f>
        <v>0</v>
      </c>
      <c r="CC144" s="28">
        <f>VLOOKUP($BX144,$AJ144:$AQ147,6,FALSE)</f>
        <v>0</v>
      </c>
      <c r="CD144" s="28">
        <f>VLOOKUP($BX144,$AJ144:$AQ147,7,FALSE)</f>
        <v>0</v>
      </c>
      <c r="CE144" s="28">
        <f>VLOOKUP($BX144,$AJ144:$AQ147,8,FALSE)</f>
        <v>0</v>
      </c>
      <c r="CF144" s="128" t="str">
        <f>CONCATENATE(CC144,":",CD144)</f>
        <v>0:0</v>
      </c>
    </row>
    <row r="145" spans="1:84" x14ac:dyDescent="0.2">
      <c r="A145" s="27" t="str">
        <f>'1-zapasy'!B116</f>
        <v/>
      </c>
      <c r="B145" s="220" t="str">
        <f>'1-zapasy'!I116</f>
        <v/>
      </c>
      <c r="C145" s="220" t="e">
        <f>'3-zapasy'!#REF!</f>
        <v>#REF!</v>
      </c>
      <c r="D145" s="220" t="str">
        <f>'1-zapasy'!J116</f>
        <v/>
      </c>
      <c r="E145" s="27" t="str">
        <f>'1-zapasy'!C116</f>
        <v/>
      </c>
      <c r="F145" s="28">
        <f>COUNTBLANK('1-zapasy'!I116:'1-zapasy'!J116)</f>
        <v>2</v>
      </c>
      <c r="G145" s="28">
        <f>IF(AND(F145=0,OR($A145=$G142,$E145=$G142)),1,0)</f>
        <v>0</v>
      </c>
      <c r="H145" s="28">
        <f>IF(AND(F145=0,OR(AND($A145=$G142,$B145&gt;$D145),AND($E145=$G142,$D145&gt;$B145))),1,0)</f>
        <v>0</v>
      </c>
      <c r="I145" s="28">
        <f t="shared" si="182"/>
        <v>0</v>
      </c>
      <c r="J145" s="28">
        <f>IF(AND(F145=0,OR(AND($A145=$G142,$B145&lt;$D145),AND($E145=$G142,$D145&lt;$B145))),1,0)</f>
        <v>0</v>
      </c>
      <c r="K145" s="28">
        <f>IF(F145&gt;0,0,IF($A145=$G142,$B145,IF($E145=$G142,$D145,0)))</f>
        <v>0</v>
      </c>
      <c r="L145" s="28">
        <f>IF(F145&gt;0,0,IF($A145=$G142,$D145,IF($E145=$G142,$B145,0)))</f>
        <v>0</v>
      </c>
      <c r="M145">
        <f t="shared" si="183"/>
        <v>0</v>
      </c>
      <c r="N145">
        <f>IF(AND(F145=0,OR($A145=$N142,$E145=$N142)),1,0)</f>
        <v>0</v>
      </c>
      <c r="O145">
        <f>IF(AND(F145=0,OR(AND($A145=$N142,$B145&gt;$D145),AND($E145=$N142,$D145&gt;$B145))),1,0)</f>
        <v>0</v>
      </c>
      <c r="P145">
        <f t="shared" si="184"/>
        <v>0</v>
      </c>
      <c r="Q145">
        <f>IF(AND(F145=0,OR(AND($A145=$N142,$B145&lt;$D145),AND($E145=$N142,$D145&lt;$B145))),1,0)</f>
        <v>0</v>
      </c>
      <c r="R145">
        <f>IF(F145&gt;0,0,IF($A145=$N142,$B145,IF($E145=$N142,$D145,0)))</f>
        <v>0</v>
      </c>
      <c r="S145">
        <f>IF(F145&gt;0,0,IF($A145=$N142,$D145,IF($E145=$N142,$B145,0)))</f>
        <v>0</v>
      </c>
      <c r="T145">
        <f t="shared" si="185"/>
        <v>0</v>
      </c>
      <c r="U145">
        <f>IF(AND(F145=0,OR($A145=$U142,$E145=$U142)),1,0)</f>
        <v>0</v>
      </c>
      <c r="V145">
        <f>IF(AND(F145=0,OR(AND($A145=$U142,$B145&gt;$D145),AND($E145=$U142,$D145&gt;$B145))),1,0)</f>
        <v>0</v>
      </c>
      <c r="W145">
        <f t="shared" si="186"/>
        <v>0</v>
      </c>
      <c r="X145">
        <f>IF(AND(F145=0,OR(AND($A145=$U142,$B145&lt;$D145),AND($E145=$U142,$D145&lt;$B145))),1,0)</f>
        <v>0</v>
      </c>
      <c r="Y145">
        <f>IF(F145&gt;0,0,IF($A145=$U142,$B145,IF($E145=$U142,$D145,0)))</f>
        <v>0</v>
      </c>
      <c r="Z145">
        <f>IF(F145&gt;0,0,IF($A145=$U142,$D145,IF($E145=$U142,$B145,0)))</f>
        <v>0</v>
      </c>
      <c r="AA145">
        <f t="shared" si="187"/>
        <v>0</v>
      </c>
      <c r="AB145">
        <f>IF(AND(F145=0,OR($A145=$AB142,$E145=$AB142)),1,0)</f>
        <v>0</v>
      </c>
      <c r="AC145">
        <f>IF(AND(F145=0,OR(AND($A145=$AB142,$B145&gt;$D145),AND($E145=$AB142,$D145&gt;$B145))),1,0)</f>
        <v>0</v>
      </c>
      <c r="AD145">
        <f t="shared" si="188"/>
        <v>0</v>
      </c>
      <c r="AE145">
        <f>IF(AND(F145=0,OR(AND($A145=$AB142,$B145&lt;$D145),AND($E145=$AB142,$D145&lt;$B145))),1,0)</f>
        <v>0</v>
      </c>
      <c r="AF145">
        <f>IF(F145&gt;0,0,IF($A145=$AB142,$B145,IF($E145=$AB142,$D145,0)))</f>
        <v>0</v>
      </c>
      <c r="AG145">
        <f>IF(F145&gt;0,0,IF($A145=$AB142,$D145,IF($E145=$AB142,$B145,0)))</f>
        <v>0</v>
      </c>
      <c r="AH145">
        <f t="shared" si="189"/>
        <v>0</v>
      </c>
      <c r="AJ145" s="28" t="str">
        <f>N142</f>
        <v/>
      </c>
      <c r="AK145" s="28">
        <f t="shared" ref="AK145:AQ145" si="191">N150</f>
        <v>0</v>
      </c>
      <c r="AL145" s="28">
        <f t="shared" si="191"/>
        <v>0</v>
      </c>
      <c r="AM145" s="28">
        <f t="shared" si="191"/>
        <v>0</v>
      </c>
      <c r="AN145" s="28">
        <f t="shared" si="191"/>
        <v>0</v>
      </c>
      <c r="AO145" s="28">
        <f t="shared" si="191"/>
        <v>0</v>
      </c>
      <c r="AP145" s="28">
        <f t="shared" si="191"/>
        <v>0</v>
      </c>
      <c r="AQ145" s="28">
        <f t="shared" si="191"/>
        <v>0</v>
      </c>
      <c r="AS145" s="28" t="str">
        <f>IF($AQ145&lt;=$AQ144,$AJ145,$AJ144)</f>
        <v/>
      </c>
      <c r="AT145" s="28">
        <f>VLOOKUP(AS145,$AJ144:$AQ147,8,FALSE)</f>
        <v>0</v>
      </c>
      <c r="AU145" s="28" t="str">
        <f>IF($AT145&gt;=$AT147,$AS145,$AS147)</f>
        <v/>
      </c>
      <c r="AV145" s="28">
        <f>VLOOKUP(AU145,$AS144:$AT147,2,FALSE)</f>
        <v>0</v>
      </c>
      <c r="AW145" s="28" t="str">
        <f>IF($AV145&gt;=$AV146,$AU145,$AU146)</f>
        <v/>
      </c>
      <c r="AX145" s="28">
        <f>VLOOKUP(AW145,$AU144:$AV147,2,FALSE)</f>
        <v>0</v>
      </c>
      <c r="AY145" s="28">
        <f>VLOOKUP(AW145,$AJ144:$AQ147,6,FALSE)</f>
        <v>0</v>
      </c>
      <c r="AZ145" s="28">
        <f>VLOOKUP(AW145,$AJ144:$AQ147,7,FALSE)</f>
        <v>0</v>
      </c>
      <c r="BA145" s="28">
        <f>AY145-AZ145</f>
        <v>0</v>
      </c>
      <c r="BB145" s="28" t="str">
        <f>IF(AND($AX144=$AX145,$BA145&gt;$BA144),$AW144,$AW145)</f>
        <v/>
      </c>
      <c r="BC145" s="28">
        <f>VLOOKUP(BB145,$AW144:$BA147,2,FALSE)</f>
        <v>0</v>
      </c>
      <c r="BD145" s="28">
        <f>VLOOKUP(BB145,$AW144:$BA147,5,FALSE)</f>
        <v>0</v>
      </c>
      <c r="BE145" s="28" t="str">
        <f>IF(AND($BC145=$BC147,$BD147&gt;$BD145),$BB147,$BB145)</f>
        <v/>
      </c>
      <c r="BF145" s="28">
        <f>VLOOKUP(BE145,$BB144:$BD147,2,FALSE)</f>
        <v>0</v>
      </c>
      <c r="BG145" s="28">
        <f>VLOOKUP(BE145,$BB144:$BD147,3,FALSE)</f>
        <v>0</v>
      </c>
      <c r="BH145" s="28" t="str">
        <f>IF(AND($BF145=$BF146,$BG146&gt;$BG145),$BE146,$BE145)</f>
        <v/>
      </c>
      <c r="BI145" s="28">
        <f>VLOOKUP(BH145,$BE144:$BG147,2,FALSE)</f>
        <v>0</v>
      </c>
      <c r="BJ145" s="28">
        <f>VLOOKUP(BH145,$BE144:$BG147,3,FALSE)</f>
        <v>0</v>
      </c>
      <c r="BK145" s="28">
        <f>VLOOKUP(BH145,$AJ144:$AQ147,6,FALSE)</f>
        <v>0</v>
      </c>
      <c r="BL145" s="28" t="str">
        <f>IF(AND($BI144=$BI145,$BJ144=$BJ145,$BK145&gt;$BK144),$BH144,$BH145)</f>
        <v/>
      </c>
      <c r="BM145" s="28">
        <f>VLOOKUP(BL145,$BH144:$BK147,2,FALSE)</f>
        <v>0</v>
      </c>
      <c r="BN145" s="28">
        <f>VLOOKUP(BL145,$BH144:$BK147,3,FALSE)</f>
        <v>0</v>
      </c>
      <c r="BO145" s="28">
        <f>VLOOKUP(BL145,$BH144:$BK147,4,FALSE)</f>
        <v>0</v>
      </c>
      <c r="BP145" s="28" t="str">
        <f>IF(AND($BM145=$BM147,$BN145=$BN147,$BO147&gt;$BO145),$BL147,$BL145)</f>
        <v/>
      </c>
      <c r="BQ145" s="28">
        <f>VLOOKUP(BP145,$BL144:$BO147,2,FALSE)</f>
        <v>0</v>
      </c>
      <c r="BR145" s="28">
        <f>VLOOKUP(BP145,$BL144:$BO147,3,FALSE)</f>
        <v>0</v>
      </c>
      <c r="BS145" s="28">
        <f>VLOOKUP(BP145,$BL144:$BO147,4,FALSE)</f>
        <v>0</v>
      </c>
      <c r="BT145" s="28" t="str">
        <f>IF(AND($BQ145=$BQ146,$BR145=$BR146,$BS146&gt;$BS145),$BP146,$BP145)</f>
        <v/>
      </c>
      <c r="BU145" s="28">
        <f>VLOOKUP(BT145,$BP144:$BS147,2,FALSE)</f>
        <v>0</v>
      </c>
      <c r="BV145" s="28">
        <f>VLOOKUP(BT145,$BP144:$BS147,3,FALSE)</f>
        <v>0</v>
      </c>
      <c r="BW145" s="28">
        <f>VLOOKUP(BT145,$BP144:$BS147,4,FALSE)</f>
        <v>0</v>
      </c>
      <c r="BX145" s="28" t="str">
        <f>BT145</f>
        <v/>
      </c>
      <c r="BY145" s="28">
        <f>VLOOKUP($BX145,$AJ144:$AQ147,2,FALSE)</f>
        <v>0</v>
      </c>
      <c r="BZ145" s="28">
        <f>VLOOKUP($BX145,$AJ144:$AQ147,3,FALSE)</f>
        <v>0</v>
      </c>
      <c r="CA145" s="28">
        <f>VLOOKUP($BX145,$AJ144:$AQ147,4,FALSE)</f>
        <v>0</v>
      </c>
      <c r="CB145" s="28">
        <f>VLOOKUP($BX145,$AJ144:$AQ147,5,FALSE)</f>
        <v>0</v>
      </c>
      <c r="CC145" s="28">
        <f>VLOOKUP($BX145,$AJ144:$AQ147,6,FALSE)</f>
        <v>0</v>
      </c>
      <c r="CD145" s="28">
        <f>VLOOKUP($BX145,$AJ144:$AQ147,7,FALSE)</f>
        <v>0</v>
      </c>
      <c r="CE145" s="28">
        <f>VLOOKUP($BX145,$AJ144:$AQ147,8,FALSE)</f>
        <v>0</v>
      </c>
      <c r="CF145" s="128" t="str">
        <f>CONCATENATE(CC145,":",CD145)</f>
        <v>0:0</v>
      </c>
    </row>
    <row r="146" spans="1:84" x14ac:dyDescent="0.2">
      <c r="A146" s="27" t="str">
        <f>'1-zapasy'!B117</f>
        <v/>
      </c>
      <c r="B146" s="220" t="str">
        <f>'1-zapasy'!I117</f>
        <v/>
      </c>
      <c r="C146" s="220" t="e">
        <f>'3-zapasy'!#REF!</f>
        <v>#REF!</v>
      </c>
      <c r="D146" s="220" t="str">
        <f>'1-zapasy'!J117</f>
        <v/>
      </c>
      <c r="E146" s="27" t="str">
        <f>'1-zapasy'!C117</f>
        <v/>
      </c>
      <c r="F146" s="28">
        <f>COUNTBLANK('1-zapasy'!I117:'1-zapasy'!J117)</f>
        <v>2</v>
      </c>
      <c r="G146" s="28">
        <f>IF(AND(F146=0,OR($A146=$G142,$E146=$G142)),1,0)</f>
        <v>0</v>
      </c>
      <c r="H146" s="28">
        <f>IF(AND(F146=0,OR(AND($A146=$G142,$B146&gt;$D146),AND($E146=$G142,$D146&gt;$B146))),1,0)</f>
        <v>0</v>
      </c>
      <c r="I146" s="28">
        <f t="shared" si="182"/>
        <v>0</v>
      </c>
      <c r="J146" s="28">
        <f>IF(AND(F146=0,OR(AND($A146=$G142,$B146&lt;$D146),AND($E146=$G142,$D146&lt;$B146))),1,0)</f>
        <v>0</v>
      </c>
      <c r="K146" s="28">
        <f>IF(F146&gt;0,0,IF($A146=$G142,$B146,IF($E146=$G142,$D146,0)))</f>
        <v>0</v>
      </c>
      <c r="L146" s="28">
        <f>IF(F146&gt;0,0,IF($A146=$G142,$D146,IF($E146=$G142,$B146,0)))</f>
        <v>0</v>
      </c>
      <c r="M146">
        <f t="shared" si="183"/>
        <v>0</v>
      </c>
      <c r="N146">
        <f>IF(AND(F146=0,OR($A146=$N142,$E146=$N142)),1,0)</f>
        <v>0</v>
      </c>
      <c r="O146">
        <f>IF(AND(F146=0,OR(AND($A146=$N142,$B146&gt;$D146),AND($E146=$N142,$D146&gt;$B146))),1,0)</f>
        <v>0</v>
      </c>
      <c r="P146">
        <f t="shared" si="184"/>
        <v>0</v>
      </c>
      <c r="Q146">
        <f>IF(AND(F146=0,OR(AND($A146=$N142,$B146&lt;$D146),AND($E146=$N142,$D146&lt;$B146))),1,0)</f>
        <v>0</v>
      </c>
      <c r="R146">
        <f>IF(F146&gt;0,0,IF($A146=$N142,$B146,IF($E146=$N142,$D146,0)))</f>
        <v>0</v>
      </c>
      <c r="S146">
        <f>IF(F146&gt;0,0,IF($A146=$N142,$D146,IF($E146=$N142,$B146,0)))</f>
        <v>0</v>
      </c>
      <c r="T146">
        <f t="shared" si="185"/>
        <v>0</v>
      </c>
      <c r="U146">
        <f>IF(AND(F146=0,OR($A146=$U142,$E146=$U142)),1,0)</f>
        <v>0</v>
      </c>
      <c r="V146">
        <f>IF(AND(F146=0,OR(AND($A146=$U142,$B146&gt;$D146),AND($E146=$U142,$D146&gt;$B146))),1,0)</f>
        <v>0</v>
      </c>
      <c r="W146">
        <f t="shared" si="186"/>
        <v>0</v>
      </c>
      <c r="X146">
        <f>IF(AND(F146=0,OR(AND($A146=$U142,$B146&lt;$D146),AND($E146=$U142,$D146&lt;$B146))),1,0)</f>
        <v>0</v>
      </c>
      <c r="Y146">
        <f>IF(F146&gt;0,0,IF($A146=$U142,$B146,IF($E146=$U142,$D146,0)))</f>
        <v>0</v>
      </c>
      <c r="Z146">
        <f>IF(F146&gt;0,0,IF($A146=$U142,$D146,IF($E146=$U142,$B146,0)))</f>
        <v>0</v>
      </c>
      <c r="AA146">
        <f t="shared" si="187"/>
        <v>0</v>
      </c>
      <c r="AB146">
        <f>IF(AND(F146=0,OR($A146=$AB142,$E146=$AB142)),1,0)</f>
        <v>0</v>
      </c>
      <c r="AC146">
        <f>IF(AND(F146=0,OR(AND($A146=$AB142,$B146&gt;$D146),AND($E146=$AB142,$D146&gt;$B146))),1,0)</f>
        <v>0</v>
      </c>
      <c r="AD146">
        <f t="shared" si="188"/>
        <v>0</v>
      </c>
      <c r="AE146">
        <f>IF(AND(F146=0,OR(AND($A146=$AB142,$B146&lt;$D146),AND($E146=$AB142,$D146&lt;$B146))),1,0)</f>
        <v>0</v>
      </c>
      <c r="AF146">
        <f>IF(F146&gt;0,0,IF($A146=$AB142,$B146,IF($E146=$AB142,$D146,0)))</f>
        <v>0</v>
      </c>
      <c r="AG146">
        <f>IF(F146&gt;0,0,IF($A146=$AB142,$D146,IF($E146=$AB142,$B146,0)))</f>
        <v>0</v>
      </c>
      <c r="AH146">
        <f t="shared" si="189"/>
        <v>0</v>
      </c>
      <c r="AJ146" s="28" t="str">
        <f>U142</f>
        <v/>
      </c>
      <c r="AK146" s="28">
        <f t="shared" ref="AK146:AQ146" si="192">U150</f>
        <v>0</v>
      </c>
      <c r="AL146" s="28">
        <f t="shared" si="192"/>
        <v>0</v>
      </c>
      <c r="AM146" s="28">
        <f t="shared" si="192"/>
        <v>0</v>
      </c>
      <c r="AN146" s="28">
        <f t="shared" si="192"/>
        <v>0</v>
      </c>
      <c r="AO146" s="28">
        <f t="shared" si="192"/>
        <v>0</v>
      </c>
      <c r="AP146" s="28">
        <f t="shared" si="192"/>
        <v>0</v>
      </c>
      <c r="AQ146" s="28">
        <f t="shared" si="192"/>
        <v>0</v>
      </c>
      <c r="AS146" s="28" t="str">
        <f>IF($AQ146&gt;=$AQ147,$AJ146,$AJ147)</f>
        <v/>
      </c>
      <c r="AT146" s="28">
        <f>VLOOKUP(AS146,$AJ144:$AQ147,8,FALSE)</f>
        <v>0</v>
      </c>
      <c r="AU146" s="28" t="str">
        <f>IF($AT146&lt;=$AT144,$AS146,$AS144)</f>
        <v/>
      </c>
      <c r="AV146" s="28">
        <f>VLOOKUP(AU146,$AS144:$AT147,2,FALSE)</f>
        <v>0</v>
      </c>
      <c r="AW146" s="28" t="str">
        <f>IF($AV146&lt;=$AV145,$AU146,$AU145)</f>
        <v/>
      </c>
      <c r="AX146" s="28">
        <f>VLOOKUP(AW146,$AU144:$AV147,2,FALSE)</f>
        <v>0</v>
      </c>
      <c r="AY146" s="28">
        <f>VLOOKUP(AW146,$AJ144:$AQ147,6,FALSE)</f>
        <v>0</v>
      </c>
      <c r="AZ146" s="28">
        <f>VLOOKUP(AW146,$AJ144:$AQ147,7,FALSE)</f>
        <v>0</v>
      </c>
      <c r="BA146" s="28">
        <f>AY146-AZ146</f>
        <v>0</v>
      </c>
      <c r="BB146" s="28" t="str">
        <f>IF(AND($AX146=$AX147,$BA147&gt;$BA146),$AW147,$AW146)</f>
        <v/>
      </c>
      <c r="BC146" s="28">
        <f>VLOOKUP(BB146,$AW144:$BA147,2,FALSE)</f>
        <v>0</v>
      </c>
      <c r="BD146" s="28">
        <f>VLOOKUP(BB146,$AW144:$BA147,5,FALSE)</f>
        <v>0</v>
      </c>
      <c r="BE146" s="28" t="str">
        <f>IF(AND($BC144=$BC146,$BD146&gt;$BD144),$BB144,$BB146)</f>
        <v/>
      </c>
      <c r="BF146" s="28">
        <f>VLOOKUP(BE146,$BB144:$BD147,2,FALSE)</f>
        <v>0</v>
      </c>
      <c r="BG146" s="28">
        <f>VLOOKUP(BE146,$BB144:$BD147,3,FALSE)</f>
        <v>0</v>
      </c>
      <c r="BH146" s="28" t="str">
        <f>IF(AND($BF145=$BF146,$BG146&gt;$BG145),$BE145,$BE146)</f>
        <v/>
      </c>
      <c r="BI146" s="28">
        <f>VLOOKUP(BH146,$BE144:$BG147,2,FALSE)</f>
        <v>0</v>
      </c>
      <c r="BJ146" s="28">
        <f>VLOOKUP(BH146,$BE144:$BG147,3,FALSE)</f>
        <v>0</v>
      </c>
      <c r="BK146" s="28">
        <f>VLOOKUP(BH146,$AJ144:$AQ147,6,FALSE)</f>
        <v>0</v>
      </c>
      <c r="BL146" s="28" t="str">
        <f>IF(AND($BI146=$BI147,$BJ146=$BJ147,$BK147&gt;$BK146),$BH147,$BH146)</f>
        <v/>
      </c>
      <c r="BM146" s="28">
        <f>VLOOKUP(BL146,$BH144:$BK147,2,FALSE)</f>
        <v>0</v>
      </c>
      <c r="BN146" s="28">
        <f>VLOOKUP(BL146,$BH144:$BK147,3,FALSE)</f>
        <v>0</v>
      </c>
      <c r="BO146" s="28">
        <f>VLOOKUP(BL146,$BH144:$BK147,4,FALSE)</f>
        <v>0</v>
      </c>
      <c r="BP146" s="28" t="str">
        <f>IF(AND($BM144=$BM146,$BN144=$BN146,$BO146&gt;$BO144),$BL144,$BL146)</f>
        <v/>
      </c>
      <c r="BQ146" s="28">
        <f>VLOOKUP(BP146,$BL144:$BO147,2,FALSE)</f>
        <v>0</v>
      </c>
      <c r="BR146" s="28">
        <f>VLOOKUP(BP146,$BL144:$BO147,3,FALSE)</f>
        <v>0</v>
      </c>
      <c r="BS146" s="28">
        <f>VLOOKUP(BP146,$BL144:$BO147,4,FALSE)</f>
        <v>0</v>
      </c>
      <c r="BT146" s="28" t="str">
        <f>IF(AND($BQ145=$BQ146,$BR145=$BR146,$BS146&gt;$BS145),$BP145,$BP146)</f>
        <v/>
      </c>
      <c r="BU146" s="28">
        <f>VLOOKUP(BT146,$BP144:$BS147,2,FALSE)</f>
        <v>0</v>
      </c>
      <c r="BV146" s="28">
        <f>VLOOKUP(BT146,$BP144:$BS147,3,FALSE)</f>
        <v>0</v>
      </c>
      <c r="BW146" s="28">
        <f>VLOOKUP(BT146,$BP144:$BS147,4,FALSE)</f>
        <v>0</v>
      </c>
      <c r="BX146" s="28" t="str">
        <f>BT146</f>
        <v/>
      </c>
      <c r="BY146" s="28">
        <f>VLOOKUP($BX146,$AJ144:$AQ147,2,FALSE)</f>
        <v>0</v>
      </c>
      <c r="BZ146" s="28">
        <f>VLOOKUP($BX146,$AJ144:$AQ147,3,FALSE)</f>
        <v>0</v>
      </c>
      <c r="CA146" s="28">
        <f>VLOOKUP($BX146,$AJ144:$AQ147,4,FALSE)</f>
        <v>0</v>
      </c>
      <c r="CB146" s="28">
        <f>VLOOKUP($BX146,$AJ144:$AQ147,5,FALSE)</f>
        <v>0</v>
      </c>
      <c r="CC146" s="28">
        <f>VLOOKUP($BX146,$AJ144:$AQ147,6,FALSE)</f>
        <v>0</v>
      </c>
      <c r="CD146" s="28">
        <f>VLOOKUP($BX146,$AJ144:$AQ147,7,FALSE)</f>
        <v>0</v>
      </c>
      <c r="CE146" s="28">
        <f>VLOOKUP($BX146,$AJ144:$AQ147,8,FALSE)</f>
        <v>0</v>
      </c>
      <c r="CF146" s="128" t="str">
        <f>CONCATENATE(CC146,":",CD146)</f>
        <v>0:0</v>
      </c>
    </row>
    <row r="147" spans="1:84" x14ac:dyDescent="0.2">
      <c r="A147" s="27" t="str">
        <f>'1-zapasy'!B118</f>
        <v/>
      </c>
      <c r="B147" s="220" t="str">
        <f>'1-zapasy'!I118</f>
        <v/>
      </c>
      <c r="C147" s="220" t="e">
        <f>'3-zapasy'!#REF!</f>
        <v>#REF!</v>
      </c>
      <c r="D147" s="220" t="str">
        <f>'1-zapasy'!J118</f>
        <v/>
      </c>
      <c r="E147" s="27" t="str">
        <f>'1-zapasy'!C118</f>
        <v/>
      </c>
      <c r="F147" s="28">
        <f>COUNTBLANK('1-zapasy'!I118:'1-zapasy'!J118)</f>
        <v>2</v>
      </c>
      <c r="G147" s="28">
        <f>IF(AND(F147=0,OR($A147=$G142,$E147=$G142)),1,0)</f>
        <v>0</v>
      </c>
      <c r="H147" s="28">
        <f>IF(AND(F147=0,OR(AND($A147=$G142,$B147&gt;$D147),AND($E147=$G142,$D147&gt;$B147))),1,0)</f>
        <v>0</v>
      </c>
      <c r="I147" s="28">
        <f t="shared" si="182"/>
        <v>0</v>
      </c>
      <c r="J147" s="28">
        <f>IF(AND(F147=0,OR(AND($A147=$G142,$B147&lt;$D147),AND($E147=$G142,$D147&lt;$B147))),1,0)</f>
        <v>0</v>
      </c>
      <c r="K147" s="28">
        <f>IF(F147&gt;0,0,IF($A147=$G142,$B147,IF($E147=$G142,$D147,0)))</f>
        <v>0</v>
      </c>
      <c r="L147" s="28">
        <f>IF(F147&gt;0,0,IF($A147=$G142,$D147,IF($E147=$G142,$B147,0)))</f>
        <v>0</v>
      </c>
      <c r="M147">
        <f t="shared" si="183"/>
        <v>0</v>
      </c>
      <c r="N147">
        <f>IF(AND(F147=0,OR($A147=$N142,$E147=$N142)),1,0)</f>
        <v>0</v>
      </c>
      <c r="O147">
        <f>IF(AND(F147=0,OR(AND($A147=$N142,$B147&gt;$D147),AND($E147=$N142,$D147&gt;$B147))),1,0)</f>
        <v>0</v>
      </c>
      <c r="P147">
        <f t="shared" si="184"/>
        <v>0</v>
      </c>
      <c r="Q147">
        <f>IF(AND(F147=0,OR(AND($A147=$N142,$B147&lt;$D147),AND($E147=$N142,$D147&lt;$B147))),1,0)</f>
        <v>0</v>
      </c>
      <c r="R147">
        <f>IF(F147&gt;0,0,IF($A147=$N142,$B147,IF($E147=$N142,$D147,0)))</f>
        <v>0</v>
      </c>
      <c r="S147">
        <f>IF(F147&gt;0,0,IF($A147=$N142,$D147,IF($E147=$N142,$B147,0)))</f>
        <v>0</v>
      </c>
      <c r="T147">
        <f t="shared" si="185"/>
        <v>0</v>
      </c>
      <c r="U147">
        <f>IF(AND(F147=0,OR($A147=$U142,$E147=$U142)),1,0)</f>
        <v>0</v>
      </c>
      <c r="V147">
        <f>IF(AND(F147=0,OR(AND($A147=$U142,$B147&gt;$D147),AND($E147=$U142,$D147&gt;$B147))),1,0)</f>
        <v>0</v>
      </c>
      <c r="W147">
        <f t="shared" si="186"/>
        <v>0</v>
      </c>
      <c r="X147">
        <f>IF(AND(F147=0,OR(AND($A147=$U142,$B147&lt;$D147),AND($E147=$U142,$D147&lt;$B147))),1,0)</f>
        <v>0</v>
      </c>
      <c r="Y147">
        <f>IF(F147&gt;0,0,IF($A147=$U142,$B147,IF($E147=$U142,$D147,0)))</f>
        <v>0</v>
      </c>
      <c r="Z147">
        <f>IF(F147&gt;0,0,IF($A147=$U142,$D147,IF($E147=$U142,$B147,0)))</f>
        <v>0</v>
      </c>
      <c r="AA147">
        <f t="shared" si="187"/>
        <v>0</v>
      </c>
      <c r="AB147">
        <f>IF(AND(F147=0,OR($A147=$AB142,$E147=$AB142)),1,0)</f>
        <v>0</v>
      </c>
      <c r="AC147">
        <f>IF(AND(F147=0,OR(AND($A147=$AB142,$B147&gt;$D147),AND($E147=$AB142,$D147&gt;$B147))),1,0)</f>
        <v>0</v>
      </c>
      <c r="AD147">
        <f t="shared" si="188"/>
        <v>0</v>
      </c>
      <c r="AE147">
        <f>IF(AND(F147=0,OR(AND($A147=$AB142,$B147&lt;$D147),AND($E147=$AB142,$D147&lt;$B147))),1,0)</f>
        <v>0</v>
      </c>
      <c r="AF147">
        <f>IF(F147&gt;0,0,IF($A147=$AB142,$B147,IF($E147=$AB142,$D147,0)))</f>
        <v>0</v>
      </c>
      <c r="AG147">
        <f>IF(F147&gt;0,0,IF($A147=$AB142,$D147,IF($E147=$AB142,$B147,0)))</f>
        <v>0</v>
      </c>
      <c r="AH147">
        <f t="shared" si="189"/>
        <v>0</v>
      </c>
      <c r="AJ147" s="28" t="str">
        <f>AB142</f>
        <v/>
      </c>
      <c r="AK147" s="28">
        <f t="shared" ref="AK147:AQ147" si="193">AB150</f>
        <v>0</v>
      </c>
      <c r="AL147" s="28">
        <f t="shared" si="193"/>
        <v>0</v>
      </c>
      <c r="AM147" s="28">
        <f t="shared" si="193"/>
        <v>0</v>
      </c>
      <c r="AN147" s="28">
        <f t="shared" si="193"/>
        <v>0</v>
      </c>
      <c r="AO147" s="28">
        <f t="shared" si="193"/>
        <v>0</v>
      </c>
      <c r="AP147" s="28">
        <f t="shared" si="193"/>
        <v>0</v>
      </c>
      <c r="AQ147" s="28">
        <f t="shared" si="193"/>
        <v>0</v>
      </c>
      <c r="AS147" s="28" t="str">
        <f>IF($AQ147&lt;=$AQ146,$AJ147,$AJ146)</f>
        <v/>
      </c>
      <c r="AT147" s="28">
        <f>VLOOKUP(AS147,$AJ144:$AQ147,8,FALSE)</f>
        <v>0</v>
      </c>
      <c r="AU147" s="28" t="str">
        <f>IF($AT147&lt;=$AT145,$AS147,$AS145)</f>
        <v/>
      </c>
      <c r="AV147" s="28">
        <f>VLOOKUP(AU147,$AS144:$AT147,2,FALSE)</f>
        <v>0</v>
      </c>
      <c r="AW147" s="28" t="str">
        <f>IF($AV147&lt;=$AV144,$AU147,$AU144)</f>
        <v/>
      </c>
      <c r="AX147" s="28">
        <f>VLOOKUP(AW147,$AU144:$AV147,2,FALSE)</f>
        <v>0</v>
      </c>
      <c r="AY147" s="28">
        <f>VLOOKUP(AW147,$AJ144:$AQ147,6,FALSE)</f>
        <v>0</v>
      </c>
      <c r="AZ147" s="28">
        <f>VLOOKUP(AW147,$AJ144:$AQ147,7,FALSE)</f>
        <v>0</v>
      </c>
      <c r="BA147" s="28">
        <f>AY147-AZ147</f>
        <v>0</v>
      </c>
      <c r="BB147" s="28" t="str">
        <f>IF(AND($AX146=$AX147,$BA147&gt;$BA146),$AW146,$AW147)</f>
        <v/>
      </c>
      <c r="BC147" s="28">
        <f>VLOOKUP(BB147,$AW144:$BA147,2,FALSE)</f>
        <v>0</v>
      </c>
      <c r="BD147" s="28">
        <f>VLOOKUP(BB147,$AW144:$BA147,5,FALSE)</f>
        <v>0</v>
      </c>
      <c r="BE147" s="28" t="str">
        <f>IF(AND($BC145=$BC147,$BD147&gt;$BD145),$BB145,$BB147)</f>
        <v/>
      </c>
      <c r="BF147" s="28">
        <f>VLOOKUP(BE147,$BB144:$BD147,2,FALSE)</f>
        <v>0</v>
      </c>
      <c r="BG147" s="28">
        <f>VLOOKUP(BE147,$BB144:$BD147,3,FALSE)</f>
        <v>0</v>
      </c>
      <c r="BH147" s="28" t="str">
        <f>IF(AND($BF144=$BF147,$BG147&gt;$BG144),$BE144,$BE147)</f>
        <v/>
      </c>
      <c r="BI147" s="28">
        <f>VLOOKUP(BH147,$BE144:$BG147,2,FALSE)</f>
        <v>0</v>
      </c>
      <c r="BJ147" s="28">
        <f>VLOOKUP(BH147,$BE144:$BG147,3,FALSE)</f>
        <v>0</v>
      </c>
      <c r="BK147" s="28">
        <f>VLOOKUP(BH147,$AJ144:$AQ147,6,FALSE)</f>
        <v>0</v>
      </c>
      <c r="BL147" s="28" t="str">
        <f>IF(AND($BI146=$BI147,$BJ146=$BJ147,$BK147&gt;$BK146),$BH146,$BH147)</f>
        <v/>
      </c>
      <c r="BM147" s="28">
        <f>VLOOKUP(BL147,$BH144:$BK147,2,FALSE)</f>
        <v>0</v>
      </c>
      <c r="BN147" s="28">
        <f>VLOOKUP(BL147,$BH144:$BK147,3,FALSE)</f>
        <v>0</v>
      </c>
      <c r="BO147" s="28">
        <f>VLOOKUP(BL147,$BH144:$BK147,4,FALSE)</f>
        <v>0</v>
      </c>
      <c r="BP147" s="28" t="str">
        <f>IF(AND($BM145=$BM147,$BN145=$BN147,$BO147&gt;$BO145),$BL145,$BL147)</f>
        <v/>
      </c>
      <c r="BQ147" s="28">
        <f>VLOOKUP(BP147,$BL144:$BO147,2,FALSE)</f>
        <v>0</v>
      </c>
      <c r="BR147" s="28">
        <f>VLOOKUP(BP147,$BL144:$BO147,3,FALSE)</f>
        <v>0</v>
      </c>
      <c r="BS147" s="28">
        <f>VLOOKUP(BP147,$BL144:$BO147,4,FALSE)</f>
        <v>0</v>
      </c>
      <c r="BT147" s="28" t="str">
        <f>IF(AND($BQ144=$BQ147,$BR144=$BR147,$BS147&gt;$BS144),$BP144,$BP147)</f>
        <v/>
      </c>
      <c r="BU147" s="28">
        <f>VLOOKUP(BT147,$BP144:$BS147,2,FALSE)</f>
        <v>0</v>
      </c>
      <c r="BV147" s="28">
        <f>VLOOKUP(BT147,$BP144:$BS147,3,FALSE)</f>
        <v>0</v>
      </c>
      <c r="BW147" s="28">
        <f>VLOOKUP(BT147,$BP144:$BS147,4,FALSE)</f>
        <v>0</v>
      </c>
      <c r="BX147" s="28" t="str">
        <f>BT147</f>
        <v/>
      </c>
      <c r="BY147" s="28">
        <f>VLOOKUP($BX147,$AJ144:$AQ147,2,FALSE)</f>
        <v>0</v>
      </c>
      <c r="BZ147" s="28">
        <f>VLOOKUP($BX147,$AJ144:$AQ147,3,FALSE)</f>
        <v>0</v>
      </c>
      <c r="CA147" s="28">
        <f>VLOOKUP($BX147,$AJ144:$AQ147,4,FALSE)</f>
        <v>0</v>
      </c>
      <c r="CB147" s="28">
        <f>VLOOKUP($BX147,$AJ144:$AQ147,5,FALSE)</f>
        <v>0</v>
      </c>
      <c r="CC147" s="28">
        <f>VLOOKUP($BX147,$AJ144:$AQ147,6,FALSE)</f>
        <v>0</v>
      </c>
      <c r="CD147" s="28">
        <f>VLOOKUP($BX147,$AJ144:$AQ147,7,FALSE)</f>
        <v>0</v>
      </c>
      <c r="CE147" s="28">
        <f>VLOOKUP($BX147,$AJ144:$AQ147,8,FALSE)</f>
        <v>0</v>
      </c>
      <c r="CF147" s="128" t="str">
        <f>CONCATENATE(CC147,":",CD147)</f>
        <v>0:0</v>
      </c>
    </row>
    <row r="148" spans="1:84" x14ac:dyDescent="0.2">
      <c r="A148" s="27" t="str">
        <f>'1-zapasy'!B119</f>
        <v/>
      </c>
      <c r="B148" s="220" t="str">
        <f>'1-zapasy'!I119</f>
        <v/>
      </c>
      <c r="C148" s="220" t="e">
        <f>'3-zapasy'!#REF!</f>
        <v>#REF!</v>
      </c>
      <c r="D148" s="220" t="str">
        <f>'1-zapasy'!J119</f>
        <v/>
      </c>
      <c r="E148" s="27" t="str">
        <f>'1-zapasy'!C119</f>
        <v/>
      </c>
      <c r="F148" s="28">
        <f>COUNTBLANK('1-zapasy'!I119:'1-zapasy'!J119)</f>
        <v>2</v>
      </c>
      <c r="G148" s="28">
        <f>IF(AND(F148=0,OR($A148=$G142,$E148=$G142)),1,0)</f>
        <v>0</v>
      </c>
      <c r="H148" s="28">
        <f>IF(AND(F148=0,OR(AND($A148=$G142,$B148&gt;$D148),AND($E148=$G142,$D148&gt;$B148))),1,0)</f>
        <v>0</v>
      </c>
      <c r="I148" s="28">
        <f t="shared" si="182"/>
        <v>0</v>
      </c>
      <c r="J148" s="28">
        <f>IF(AND(F148=0,OR(AND($A148=$G142,$B148&lt;$D148),AND($E148=$G142,$D148&lt;$B148))),1,0)</f>
        <v>0</v>
      </c>
      <c r="K148" s="28">
        <f>IF(F148&gt;0,0,IF($A148=$G142,$B148,IF($E148=$G142,$D148,0)))</f>
        <v>0</v>
      </c>
      <c r="L148" s="28">
        <f>IF(F148&gt;0,0,IF($A148=$G142,$D148,IF($E148=$G142,$B148,0)))</f>
        <v>0</v>
      </c>
      <c r="M148">
        <f t="shared" si="183"/>
        <v>0</v>
      </c>
      <c r="N148">
        <f>IF(AND(F148=0,OR($A148=$N142,$E148=$N142)),1,0)</f>
        <v>0</v>
      </c>
      <c r="O148">
        <f>IF(AND(F148=0,OR(AND($A148=$N142,$B148&gt;$D148),AND($E148=$N142,$D148&gt;$B148))),1,0)</f>
        <v>0</v>
      </c>
      <c r="P148">
        <f t="shared" si="184"/>
        <v>0</v>
      </c>
      <c r="Q148">
        <f>IF(AND(F148=0,OR(AND($A148=$N142,$B148&lt;$D148),AND($E148=$N142,$D148&lt;$B148))),1,0)</f>
        <v>0</v>
      </c>
      <c r="R148">
        <f>IF(F148&gt;0,0,IF($A148=$N142,$B148,IF($E148=$N142,$D148,0)))</f>
        <v>0</v>
      </c>
      <c r="S148">
        <f>IF(F148&gt;0,0,IF($A148=$N142,$D148,IF($E148=$N142,$B148,0)))</f>
        <v>0</v>
      </c>
      <c r="T148">
        <f t="shared" si="185"/>
        <v>0</v>
      </c>
      <c r="U148">
        <f>IF(AND(F148=0,OR($A148=$U142,$E148=$U142)),1,0)</f>
        <v>0</v>
      </c>
      <c r="V148">
        <f>IF(AND(F148=0,OR(AND($A148=$U142,$B148&gt;$D148),AND($E148=$U142,$D148&gt;$B148))),1,0)</f>
        <v>0</v>
      </c>
      <c r="W148">
        <f t="shared" si="186"/>
        <v>0</v>
      </c>
      <c r="X148">
        <f>IF(AND(F148=0,OR(AND($A148=$U142,$B148&lt;$D148),AND($E148=$U142,$D148&lt;$B148))),1,0)</f>
        <v>0</v>
      </c>
      <c r="Y148">
        <f>IF(F148&gt;0,0,IF($A148=$U142,$B148,IF($E148=$U142,$D148,0)))</f>
        <v>0</v>
      </c>
      <c r="Z148">
        <f>IF(F148&gt;0,0,IF($A148=$U142,$D148,IF($E148=$U142,$B148,0)))</f>
        <v>0</v>
      </c>
      <c r="AA148">
        <f t="shared" si="187"/>
        <v>0</v>
      </c>
      <c r="AB148">
        <f>IF(AND(F148=0,OR($A148=$AB142,$E148=$AB142)),1,0)</f>
        <v>0</v>
      </c>
      <c r="AC148">
        <f>IF(AND(F148=0,OR(AND($A148=$AB142,$B148&gt;$D148),AND($E148=$AB142,$D148&gt;$B148))),1,0)</f>
        <v>0</v>
      </c>
      <c r="AD148">
        <f t="shared" si="188"/>
        <v>0</v>
      </c>
      <c r="AE148">
        <f>IF(AND(F148=0,OR(AND($A148=$AB142,$B148&lt;$D148),AND($E148=$AB142,$D148&lt;$B148))),1,0)</f>
        <v>0</v>
      </c>
      <c r="AF148">
        <f>IF(F148&gt;0,0,IF($A148=$AB142,$B148,IF($E148=$AB142,$D148,0)))</f>
        <v>0</v>
      </c>
      <c r="AG148">
        <f>IF(F148&gt;0,0,IF($A148=$AB142,$D148,IF($E148=$AB142,$B148,0)))</f>
        <v>0</v>
      </c>
      <c r="AH148">
        <f t="shared" si="189"/>
        <v>0</v>
      </c>
    </row>
    <row r="149" spans="1:84" x14ac:dyDescent="0.2">
      <c r="A149" s="27" t="str">
        <f>'1-zapasy'!B120</f>
        <v/>
      </c>
      <c r="B149" s="220" t="str">
        <f>'1-zapasy'!I120</f>
        <v/>
      </c>
      <c r="C149" s="220" t="e">
        <f>'3-zapasy'!#REF!</f>
        <v>#REF!</v>
      </c>
      <c r="D149" s="220" t="str">
        <f>'1-zapasy'!J120</f>
        <v/>
      </c>
      <c r="E149" s="27" t="str">
        <f>'1-zapasy'!C120</f>
        <v/>
      </c>
      <c r="F149" s="28">
        <f>COUNTBLANK('1-zapasy'!I120:'1-zapasy'!J120)</f>
        <v>2</v>
      </c>
      <c r="G149" s="28">
        <f>IF(AND(F149=0,OR($A149=$G142,$E149=$G142)),1,0)</f>
        <v>0</v>
      </c>
      <c r="H149" s="28">
        <f>IF(AND(F149=0,OR(AND($A149=$G142,$B149&gt;$D149),AND($E149=$G142,$D149&gt;$B149))),1,0)</f>
        <v>0</v>
      </c>
      <c r="I149" s="28">
        <f t="shared" si="182"/>
        <v>0</v>
      </c>
      <c r="J149" s="28">
        <f>IF(AND(F149=0,OR(AND($A149=$G142,$B149&lt;$D149),AND($E149=$G142,$D149&lt;$B149))),1,0)</f>
        <v>0</v>
      </c>
      <c r="K149" s="28">
        <f>IF(F149&gt;0,0,IF($A149=$G142,$B149,IF($E149=$G142,$D149,0)))</f>
        <v>0</v>
      </c>
      <c r="L149" s="28">
        <f>IF(F149&gt;0,0,IF($A149=$G142,$D149,IF($E149=$G142,$B149,0)))</f>
        <v>0</v>
      </c>
      <c r="M149">
        <f t="shared" si="183"/>
        <v>0</v>
      </c>
      <c r="N149">
        <f>IF(AND(F149=0,OR($A149=$N142,$E149=$N142)),1,0)</f>
        <v>0</v>
      </c>
      <c r="O149">
        <f>IF(AND(F149=0,OR(AND($A149=$N142,$B149&gt;$D149),AND($E149=$N142,$D149&gt;$B149))),1,0)</f>
        <v>0</v>
      </c>
      <c r="P149">
        <f t="shared" si="184"/>
        <v>0</v>
      </c>
      <c r="Q149">
        <f>IF(AND(F149=0,OR(AND($A149=$N142,$B149&lt;$D149),AND($E149=$N142,$D149&lt;$B149))),1,0)</f>
        <v>0</v>
      </c>
      <c r="R149">
        <f>IF(F149&gt;0,0,IF($A149=$N142,$B149,IF($E149=$N142,$D149,0)))</f>
        <v>0</v>
      </c>
      <c r="S149">
        <f>IF(F149&gt;0,0,IF($A149=$N142,$D149,IF($E149=$N142,$B149,0)))</f>
        <v>0</v>
      </c>
      <c r="T149">
        <f t="shared" si="185"/>
        <v>0</v>
      </c>
      <c r="U149">
        <f>IF(AND(F149=0,OR($A149=$U142,$E149=$U142)),1,0)</f>
        <v>0</v>
      </c>
      <c r="V149">
        <f>IF(AND(F149=0,OR(AND($A149=$U142,$B149&gt;$D149),AND($E149=$U142,$D149&gt;$B149))),1,0)</f>
        <v>0</v>
      </c>
      <c r="W149">
        <f t="shared" si="186"/>
        <v>0</v>
      </c>
      <c r="X149">
        <f>IF(AND(F149=0,OR(AND($A149=$U142,$B149&lt;$D149),AND($E149=$U142,$D149&lt;$B149))),1,0)</f>
        <v>0</v>
      </c>
      <c r="Y149">
        <f>IF(F149&gt;0,0,IF($A149=$U142,$B149,IF($E149=$U142,$D149,0)))</f>
        <v>0</v>
      </c>
      <c r="Z149">
        <f>IF(F149&gt;0,0,IF($A149=$U142,$D149,IF($E149=$U142,$B149,0)))</f>
        <v>0</v>
      </c>
      <c r="AA149">
        <f t="shared" si="187"/>
        <v>0</v>
      </c>
      <c r="AB149">
        <f>IF(AND(F149=0,OR($A149=$AB142,$E149=$AB142)),1,0)</f>
        <v>0</v>
      </c>
      <c r="AC149">
        <f>IF(AND(F149=0,OR(AND($A149=$AB142,$B149&gt;$D149),AND($E149=$AB142,$D149&gt;$B149))),1,0)</f>
        <v>0</v>
      </c>
      <c r="AD149">
        <f t="shared" si="188"/>
        <v>0</v>
      </c>
      <c r="AE149">
        <f>IF(AND(F149=0,OR(AND($A149=$AB142,$B149&lt;$D149),AND($E149=$AB142,$D149&lt;$B149))),1,0)</f>
        <v>0</v>
      </c>
      <c r="AF149">
        <f>IF(F149&gt;0,0,IF($A149=$AB142,$B149,IF($E149=$AB142,$D149,0)))</f>
        <v>0</v>
      </c>
      <c r="AG149">
        <f>IF(F149&gt;0,0,IF($A149=$AB142,$D149,IF($E149=$AB142,$B149,0)))</f>
        <v>0</v>
      </c>
      <c r="AH149">
        <f t="shared" si="189"/>
        <v>0</v>
      </c>
    </row>
    <row r="150" spans="1:84" x14ac:dyDescent="0.2">
      <c r="G150" s="28">
        <f t="shared" ref="G150:AH150" si="194">SUM(G144:G149)</f>
        <v>0</v>
      </c>
      <c r="H150" s="28">
        <f t="shared" si="194"/>
        <v>0</v>
      </c>
      <c r="I150" s="28">
        <f t="shared" si="194"/>
        <v>0</v>
      </c>
      <c r="J150" s="28">
        <f t="shared" si="194"/>
        <v>0</v>
      </c>
      <c r="K150" s="28">
        <f t="shared" si="194"/>
        <v>0</v>
      </c>
      <c r="L150" s="28">
        <f t="shared" si="194"/>
        <v>0</v>
      </c>
      <c r="M150">
        <f t="shared" si="194"/>
        <v>0</v>
      </c>
      <c r="N150">
        <f t="shared" si="194"/>
        <v>0</v>
      </c>
      <c r="O150">
        <f t="shared" si="194"/>
        <v>0</v>
      </c>
      <c r="P150">
        <f t="shared" si="194"/>
        <v>0</v>
      </c>
      <c r="Q150">
        <f t="shared" si="194"/>
        <v>0</v>
      </c>
      <c r="R150">
        <f t="shared" si="194"/>
        <v>0</v>
      </c>
      <c r="S150">
        <f t="shared" si="194"/>
        <v>0</v>
      </c>
      <c r="T150">
        <f t="shared" si="194"/>
        <v>0</v>
      </c>
      <c r="U150">
        <f t="shared" si="194"/>
        <v>0</v>
      </c>
      <c r="V150">
        <f t="shared" si="194"/>
        <v>0</v>
      </c>
      <c r="W150">
        <f t="shared" si="194"/>
        <v>0</v>
      </c>
      <c r="X150">
        <f t="shared" si="194"/>
        <v>0</v>
      </c>
      <c r="Y150">
        <f t="shared" si="194"/>
        <v>0</v>
      </c>
      <c r="Z150">
        <f t="shared" si="194"/>
        <v>0</v>
      </c>
      <c r="AA150">
        <f t="shared" si="194"/>
        <v>0</v>
      </c>
      <c r="AB150">
        <f t="shared" si="194"/>
        <v>0</v>
      </c>
      <c r="AC150">
        <f t="shared" si="194"/>
        <v>0</v>
      </c>
      <c r="AD150">
        <f t="shared" si="194"/>
        <v>0</v>
      </c>
      <c r="AE150">
        <f t="shared" si="194"/>
        <v>0</v>
      </c>
      <c r="AF150">
        <f t="shared" si="194"/>
        <v>0</v>
      </c>
      <c r="AG150">
        <f t="shared" si="194"/>
        <v>0</v>
      </c>
      <c r="AH150">
        <f t="shared" si="194"/>
        <v>0</v>
      </c>
    </row>
    <row r="152" spans="1:84" x14ac:dyDescent="0.2">
      <c r="A152" s="463" t="str">
        <f>'1-zapasy'!A121</f>
        <v>skupina B10</v>
      </c>
      <c r="B152" s="464"/>
      <c r="C152" s="464"/>
      <c r="D152" s="464"/>
      <c r="E152" s="464"/>
      <c r="F152" s="28" t="s">
        <v>67</v>
      </c>
      <c r="G152" s="465" t="str">
        <f>A154</f>
        <v/>
      </c>
      <c r="H152" s="465"/>
      <c r="I152" s="465"/>
      <c r="J152" s="465"/>
      <c r="K152" s="465"/>
      <c r="L152" s="465"/>
      <c r="M152" s="465"/>
      <c r="N152" s="465" t="str">
        <f>E154</f>
        <v/>
      </c>
      <c r="O152" s="465"/>
      <c r="P152" s="465"/>
      <c r="Q152" s="465"/>
      <c r="R152" s="465"/>
      <c r="S152" s="465"/>
      <c r="T152" s="465"/>
      <c r="U152" s="465" t="str">
        <f>A155</f>
        <v/>
      </c>
      <c r="V152" s="465"/>
      <c r="W152" s="465"/>
      <c r="X152" s="465"/>
      <c r="Y152" s="465"/>
      <c r="Z152" s="465"/>
      <c r="AA152" s="465"/>
      <c r="AB152" s="465" t="str">
        <f>E155</f>
        <v/>
      </c>
      <c r="AC152" s="465"/>
      <c r="AD152" s="465"/>
      <c r="AE152" s="465"/>
      <c r="AF152" s="465"/>
      <c r="AG152" s="465"/>
      <c r="AH152" s="465"/>
      <c r="AJ152" s="465" t="s">
        <v>68</v>
      </c>
      <c r="AK152" s="465"/>
      <c r="AL152" s="465"/>
      <c r="AM152" s="465"/>
      <c r="AN152" s="465"/>
      <c r="AO152" s="465"/>
      <c r="AP152" s="465"/>
      <c r="AQ152" s="465"/>
      <c r="BX152" s="28" t="s">
        <v>69</v>
      </c>
    </row>
    <row r="153" spans="1:84" x14ac:dyDescent="0.2">
      <c r="A153" s="464"/>
      <c r="B153" s="464"/>
      <c r="C153" s="464"/>
      <c r="D153" s="464"/>
      <c r="E153" s="464"/>
      <c r="F153" s="28" t="s">
        <v>70</v>
      </c>
      <c r="G153" s="28" t="s">
        <v>71</v>
      </c>
      <c r="H153" s="28" t="s">
        <v>72</v>
      </c>
      <c r="I153" s="28" t="s">
        <v>73</v>
      </c>
      <c r="J153" s="28" t="s">
        <v>74</v>
      </c>
      <c r="K153" s="28" t="s">
        <v>75</v>
      </c>
      <c r="L153" s="28" t="s">
        <v>76</v>
      </c>
      <c r="M153" s="28" t="s">
        <v>77</v>
      </c>
      <c r="N153" s="28" t="s">
        <v>71</v>
      </c>
      <c r="O153" s="28" t="s">
        <v>72</v>
      </c>
      <c r="P153" s="28" t="s">
        <v>73</v>
      </c>
      <c r="Q153" s="28" t="s">
        <v>74</v>
      </c>
      <c r="R153" s="28" t="s">
        <v>75</v>
      </c>
      <c r="S153" s="28" t="s">
        <v>76</v>
      </c>
      <c r="T153" s="28" t="s">
        <v>77</v>
      </c>
      <c r="U153" s="28" t="s">
        <v>71</v>
      </c>
      <c r="V153" s="28" t="s">
        <v>72</v>
      </c>
      <c r="W153" s="28" t="s">
        <v>73</v>
      </c>
      <c r="X153" s="28" t="s">
        <v>74</v>
      </c>
      <c r="Y153" s="28" t="s">
        <v>75</v>
      </c>
      <c r="Z153" s="28" t="s">
        <v>76</v>
      </c>
      <c r="AA153" s="28" t="s">
        <v>77</v>
      </c>
      <c r="AB153" s="28" t="s">
        <v>71</v>
      </c>
      <c r="AC153" s="28" t="s">
        <v>72</v>
      </c>
      <c r="AD153" s="28" t="s">
        <v>73</v>
      </c>
      <c r="AE153" s="28" t="s">
        <v>74</v>
      </c>
      <c r="AF153" s="28" t="s">
        <v>75</v>
      </c>
      <c r="AG153" s="28" t="s">
        <v>76</v>
      </c>
      <c r="AH153" s="28" t="s">
        <v>77</v>
      </c>
      <c r="AK153" s="28" t="s">
        <v>71</v>
      </c>
      <c r="AL153" s="28" t="s">
        <v>72</v>
      </c>
      <c r="AM153" s="28" t="s">
        <v>73</v>
      </c>
      <c r="AN153" s="28" t="s">
        <v>74</v>
      </c>
      <c r="AO153" s="28" t="s">
        <v>75</v>
      </c>
      <c r="AP153" s="28" t="s">
        <v>76</v>
      </c>
      <c r="AQ153" s="28" t="s">
        <v>77</v>
      </c>
      <c r="AS153" s="28" t="s">
        <v>78</v>
      </c>
      <c r="AU153" s="28" t="s">
        <v>79</v>
      </c>
      <c r="AW153" s="28" t="s">
        <v>80</v>
      </c>
      <c r="AY153" s="28" t="s">
        <v>81</v>
      </c>
      <c r="BB153" s="28" t="s">
        <v>82</v>
      </c>
      <c r="BE153" s="28" t="s">
        <v>83</v>
      </c>
      <c r="BH153" s="28" t="s">
        <v>84</v>
      </c>
      <c r="BK153" s="28" t="s">
        <v>85</v>
      </c>
      <c r="BL153" s="28" t="s">
        <v>86</v>
      </c>
      <c r="BP153" s="28" t="s">
        <v>87</v>
      </c>
      <c r="BT153" s="28" t="s">
        <v>88</v>
      </c>
      <c r="BY153" s="28" t="s">
        <v>65</v>
      </c>
      <c r="BZ153" s="28" t="s">
        <v>89</v>
      </c>
      <c r="CA153" s="28" t="s">
        <v>58</v>
      </c>
      <c r="CB153" s="28" t="s">
        <v>90</v>
      </c>
      <c r="CC153" s="28" t="s">
        <v>51</v>
      </c>
      <c r="CD153" s="28" t="s">
        <v>53</v>
      </c>
      <c r="CE153" s="28" t="s">
        <v>91</v>
      </c>
    </row>
    <row r="154" spans="1:84" x14ac:dyDescent="0.2">
      <c r="A154" s="27" t="str">
        <f>'1-zapasy'!B123</f>
        <v/>
      </c>
      <c r="B154" s="220" t="str">
        <f>'1-zapasy'!I123</f>
        <v/>
      </c>
      <c r="C154" s="220" t="e">
        <f>'3-zapasy'!#REF!</f>
        <v>#REF!</v>
      </c>
      <c r="D154" s="220" t="str">
        <f>'1-zapasy'!J123</f>
        <v/>
      </c>
      <c r="E154" s="27" t="str">
        <f>'1-zapasy'!C123</f>
        <v/>
      </c>
      <c r="F154" s="28">
        <f>COUNTBLANK('1-zapasy'!I123:'1-zapasy'!J123)</f>
        <v>2</v>
      </c>
      <c r="G154" s="28">
        <f>IF(AND(F154=0,OR($A154=$G152,$E154=$G152)),1,0)</f>
        <v>0</v>
      </c>
      <c r="H154" s="28">
        <f>IF(AND(F154=0,OR(AND($A154=$G152,$B154&gt;$D154),AND($E154=$G152,$D154&gt;$B154))),1,0)</f>
        <v>0</v>
      </c>
      <c r="I154" s="28">
        <f t="shared" ref="I154:I159" si="195">IF(AND(F154=0,G154=1,$B154=$D154),1,0)</f>
        <v>0</v>
      </c>
      <c r="J154" s="28">
        <f>IF(AND(F154=0,OR(AND($A154=$G152,$B154&lt;$D154),AND($E154=$G152,$D154&lt;$B154))),1,0)</f>
        <v>0</v>
      </c>
      <c r="K154" s="28">
        <f>IF(F154&gt;0,0,IF($A154=$G152,$B154,IF($E154=$G152,$D154,0)))</f>
        <v>0</v>
      </c>
      <c r="L154" s="28">
        <f>IF(F154&gt;0,0,IF($A154=$G152,$D154,IF($E154=$G152,$B154,0)))</f>
        <v>0</v>
      </c>
      <c r="M154">
        <f t="shared" ref="M154:M159" si="196">(($H154*$B$10)+$I154)</f>
        <v>0</v>
      </c>
      <c r="N154">
        <f>IF(AND(F154=0,OR($A154=$N152,$E154=$N152)),1,0)</f>
        <v>0</v>
      </c>
      <c r="O154">
        <f>IF(AND(F154=0,OR(AND($A154=$N152,$B154&gt;$D154),AND($E154=$N152,$D154&gt;$B154))),1,0)</f>
        <v>0</v>
      </c>
      <c r="P154">
        <f t="shared" ref="P154:P159" si="197">IF(AND(F154=0,N154=1,$B154=$D154),1,0)</f>
        <v>0</v>
      </c>
      <c r="Q154">
        <f>IF(AND(F154=0,OR(AND($A154=$N152,$B154&lt;$D154),AND($E154=$N152,$D154&lt;$B154))),1,0)</f>
        <v>0</v>
      </c>
      <c r="R154">
        <f>IF(F154&gt;0,0,IF($A154=$N152,$B154,IF($E154=$N152,$D154,0)))</f>
        <v>0</v>
      </c>
      <c r="S154">
        <f>IF(F154&gt;0,0,IF($A154=$N152,$D154,IF($E154=$N152,$B154,0)))</f>
        <v>0</v>
      </c>
      <c r="T154">
        <f t="shared" ref="T154:T159" si="198">(($O154*$B$10)+$P154)</f>
        <v>0</v>
      </c>
      <c r="U154">
        <f>IF(AND(F154=0,OR($A154=$U152,$E154=$U152)),1,0)</f>
        <v>0</v>
      </c>
      <c r="V154">
        <f>IF(AND(F154=0,OR(AND($A154=$U152,$B154&gt;$D154),AND($E154=$U152,$D154&gt;$B154))),1,0)</f>
        <v>0</v>
      </c>
      <c r="W154">
        <f t="shared" ref="W154:W159" si="199">IF(AND(F154=0,U154=1,$B154=$D154),1,0)</f>
        <v>0</v>
      </c>
      <c r="X154">
        <f>IF(AND(F154=0,OR(AND($A154=$U152,$B154&lt;$D154),AND($E154=$U152,$D154&lt;$B154))),1,0)</f>
        <v>0</v>
      </c>
      <c r="Y154">
        <f>IF(F154&gt;0,0,IF($A154=$U152,$B154,IF($E154=$U152,$D154,0)))</f>
        <v>0</v>
      </c>
      <c r="Z154">
        <f>IF(F154&gt;0,0,IF($A154=$U152,$D154,IF($E154=$U152,$B154,0)))</f>
        <v>0</v>
      </c>
      <c r="AA154">
        <f t="shared" ref="AA154:AA159" si="200">(($V154*$B$10)+$W154)</f>
        <v>0</v>
      </c>
      <c r="AB154">
        <f>IF(AND(F154=0,OR($A154=$AB152,$E154=$AB152)),1,0)</f>
        <v>0</v>
      </c>
      <c r="AC154">
        <f>IF(AND(F154=0,OR(AND($A154=$AB152,$B154&gt;$D154),AND($E154=$AB152,$D154&gt;$B154))),1,0)</f>
        <v>0</v>
      </c>
      <c r="AD154">
        <f t="shared" ref="AD154:AD159" si="201">IF(AND(F154=0,AB154=1,$B154=$D154),1,0)</f>
        <v>0</v>
      </c>
      <c r="AE154">
        <f>IF(AND(F154=0,OR(AND($A154=$AB152,$B154&lt;$D154),AND($E154=$AB152,$D154&lt;$B154))),1,0)</f>
        <v>0</v>
      </c>
      <c r="AF154">
        <f>IF(F154&gt;0,0,IF($A154=$AB152,$B154,IF($E154=$AB152,$D154,0)))</f>
        <v>0</v>
      </c>
      <c r="AG154">
        <f>IF(F154&gt;0,0,IF($A154=$AB152,$D154,IF($E154=$AB152,$B154,0)))</f>
        <v>0</v>
      </c>
      <c r="AH154">
        <f t="shared" ref="AH154:AH159" si="202">(($AC154*$B$10)+$AD154)</f>
        <v>0</v>
      </c>
      <c r="AJ154" s="28" t="str">
        <f>G152</f>
        <v/>
      </c>
      <c r="AK154" s="28">
        <f t="shared" ref="AK154:AQ154" si="203">G160</f>
        <v>0</v>
      </c>
      <c r="AL154" s="28">
        <f t="shared" si="203"/>
        <v>0</v>
      </c>
      <c r="AM154" s="28">
        <f t="shared" si="203"/>
        <v>0</v>
      </c>
      <c r="AN154" s="28">
        <f t="shared" si="203"/>
        <v>0</v>
      </c>
      <c r="AO154" s="28">
        <f t="shared" si="203"/>
        <v>0</v>
      </c>
      <c r="AP154" s="28">
        <f t="shared" si="203"/>
        <v>0</v>
      </c>
      <c r="AQ154" s="28">
        <f t="shared" si="203"/>
        <v>0</v>
      </c>
      <c r="AS154" s="28" t="str">
        <f>IF($AQ154&gt;=$AQ155,$AJ154,$AJ155)</f>
        <v/>
      </c>
      <c r="AT154" s="28">
        <f>VLOOKUP(AS154,$AJ154:$AQ157,8,FALSE)</f>
        <v>0</v>
      </c>
      <c r="AU154" s="28" t="str">
        <f>IF($AT154&gt;=$AT156,$AS154,$AS156)</f>
        <v/>
      </c>
      <c r="AV154" s="28">
        <f>VLOOKUP(AU154,$AS154:$AT157,2,FALSE)</f>
        <v>0</v>
      </c>
      <c r="AW154" s="28" t="str">
        <f>IF($AV154&gt;=$AV157,$AU154,$AU157)</f>
        <v/>
      </c>
      <c r="AX154" s="28">
        <f>VLOOKUP(AW154,$AU154:$AV157,2,FALSE)</f>
        <v>0</v>
      </c>
      <c r="AY154" s="28">
        <f>VLOOKUP(AW154,$AJ154:$AQ157,6,FALSE)</f>
        <v>0</v>
      </c>
      <c r="AZ154" s="28">
        <f>VLOOKUP(AW154,$AJ154:$AQ157,7,FALSE)</f>
        <v>0</v>
      </c>
      <c r="BA154" s="28">
        <f>AY154-AZ154</f>
        <v>0</v>
      </c>
      <c r="BB154" s="28" t="str">
        <f>IF(AND($AX154=$AX155,$BA155&gt;$BA154),$AW155,$AW154)</f>
        <v/>
      </c>
      <c r="BC154" s="28">
        <f>VLOOKUP(BB154,$AW154:$BA157,2,FALSE)</f>
        <v>0</v>
      </c>
      <c r="BD154" s="28">
        <f>VLOOKUP(BB154,$AW154:$BA157,5,FALSE)</f>
        <v>0</v>
      </c>
      <c r="BE154" s="28" t="str">
        <f>IF(AND($BC154=$BC156,$BD156&gt;$BD154),$BB156,$BB154)</f>
        <v/>
      </c>
      <c r="BF154" s="28">
        <f>VLOOKUP(BE154,$BB154:$BD157,2,FALSE)</f>
        <v>0</v>
      </c>
      <c r="BG154" s="28">
        <f>VLOOKUP(BE154,$BB154:$BD157,3,FALSE)</f>
        <v>0</v>
      </c>
      <c r="BH154" s="28" t="str">
        <f>IF(AND($BF154=$BF157,$BG157&gt;$BG154),$BE157,$BE154)</f>
        <v/>
      </c>
      <c r="BI154" s="28">
        <f>VLOOKUP(BH154,$BE154:$BG157,2,FALSE)</f>
        <v>0</v>
      </c>
      <c r="BJ154" s="28">
        <f>VLOOKUP(BH154,$BE154:$BG157,3,FALSE)</f>
        <v>0</v>
      </c>
      <c r="BK154" s="28">
        <f>VLOOKUP(BH154,$AJ154:$AQ157,6,FALSE)</f>
        <v>0</v>
      </c>
      <c r="BL154" s="28" t="str">
        <f>IF(AND($BI154=$BI155,$BJ154=$BJ155,$BK155&gt;$BK154),$BH155,$BH154)</f>
        <v/>
      </c>
      <c r="BM154" s="28">
        <f>VLOOKUP(BL154,$BH154:$BK157,2,FALSE)</f>
        <v>0</v>
      </c>
      <c r="BN154" s="28">
        <f>VLOOKUP(BL154,$BH154:$BK157,3,FALSE)</f>
        <v>0</v>
      </c>
      <c r="BO154" s="28">
        <f>VLOOKUP(BL154,$BH154:$BK157,4,FALSE)</f>
        <v>0</v>
      </c>
      <c r="BP154" s="28" t="str">
        <f>IF(AND($BM154=$BM156,$BN154=$BN156,$BO156&gt;$BO154),$BL156,$BL154)</f>
        <v/>
      </c>
      <c r="BQ154" s="28">
        <f>VLOOKUP(BP154,$BL154:$BO157,2,FALSE)</f>
        <v>0</v>
      </c>
      <c r="BR154" s="28">
        <f>VLOOKUP(BP154,$BL154:$BO157,3,FALSE)</f>
        <v>0</v>
      </c>
      <c r="BS154" s="28">
        <f>VLOOKUP(BP154,$BL154:$BO157,4,FALSE)</f>
        <v>0</v>
      </c>
      <c r="BT154" s="28" t="str">
        <f>IF(AND($BQ154=$BQ157,$BR154=$BR157,$BS157&gt;$BS154),$BP157,$BP154)</f>
        <v/>
      </c>
      <c r="BU154" s="28">
        <f>VLOOKUP(BT154,$BP154:$BS157,2,FALSE)</f>
        <v>0</v>
      </c>
      <c r="BV154" s="28">
        <f>VLOOKUP(BT154,$BP154:$BS157,3,FALSE)</f>
        <v>0</v>
      </c>
      <c r="BW154" s="28">
        <f>VLOOKUP(BT154,$BP154:$BS157,4,FALSE)</f>
        <v>0</v>
      </c>
      <c r="BX154" s="28" t="str">
        <f>BT154</f>
        <v/>
      </c>
      <c r="BY154" s="28">
        <f>VLOOKUP($BX154,$AJ154:$AQ157,2,FALSE)</f>
        <v>0</v>
      </c>
      <c r="BZ154" s="28">
        <f>VLOOKUP($BX154,$AJ154:$AQ157,3,FALSE)</f>
        <v>0</v>
      </c>
      <c r="CA154" s="28">
        <f>VLOOKUP($BX154,$AJ154:$AQ157,4,FALSE)</f>
        <v>0</v>
      </c>
      <c r="CB154" s="28">
        <f>VLOOKUP($BX154,$AJ154:$AQ157,5,FALSE)</f>
        <v>0</v>
      </c>
      <c r="CC154" s="28">
        <f>VLOOKUP($BX154,$AJ154:$AQ157,6,FALSE)</f>
        <v>0</v>
      </c>
      <c r="CD154" s="28">
        <f>VLOOKUP($BX154,$AJ154:$AQ157,7,FALSE)</f>
        <v>0</v>
      </c>
      <c r="CE154" s="28">
        <f>VLOOKUP($BX154,$AJ154:$AQ157,8,FALSE)</f>
        <v>0</v>
      </c>
      <c r="CF154" s="128" t="str">
        <f>CONCATENATE(CC154,":",CD154)</f>
        <v>0:0</v>
      </c>
    </row>
    <row r="155" spans="1:84" x14ac:dyDescent="0.2">
      <c r="A155" s="27" t="str">
        <f>'1-zapasy'!B124</f>
        <v/>
      </c>
      <c r="B155" s="220" t="str">
        <f>'1-zapasy'!I124</f>
        <v/>
      </c>
      <c r="C155" s="220" t="e">
        <f>'3-zapasy'!#REF!</f>
        <v>#REF!</v>
      </c>
      <c r="D155" s="220" t="str">
        <f>'1-zapasy'!J124</f>
        <v/>
      </c>
      <c r="E155" s="27" t="str">
        <f>'1-zapasy'!C124</f>
        <v/>
      </c>
      <c r="F155" s="28">
        <f>COUNTBLANK('1-zapasy'!I124:'1-zapasy'!J124)</f>
        <v>2</v>
      </c>
      <c r="G155" s="28">
        <f>IF(AND(F155=0,OR($A155=$G152,$E155=$G152)),1,0)</f>
        <v>0</v>
      </c>
      <c r="H155" s="28">
        <f>IF(AND(F155=0,OR(AND($A155=$G152,$B155&gt;$D155),AND($E155=$G152,$D155&gt;$B155))),1,0)</f>
        <v>0</v>
      </c>
      <c r="I155" s="28">
        <f t="shared" si="195"/>
        <v>0</v>
      </c>
      <c r="J155" s="28">
        <f>IF(AND(F155=0,OR(AND($A155=$G152,$B155&lt;$D155),AND($E155=$G152,$D155&lt;$B155))),1,0)</f>
        <v>0</v>
      </c>
      <c r="K155" s="28">
        <f>IF(F155&gt;0,0,IF($A155=$G152,$B155,IF($E155=$G152,$D155,0)))</f>
        <v>0</v>
      </c>
      <c r="L155" s="28">
        <f>IF(F155&gt;0,0,IF($A155=$G152,$D155,IF($E155=$G152,$B155,0)))</f>
        <v>0</v>
      </c>
      <c r="M155">
        <f t="shared" si="196"/>
        <v>0</v>
      </c>
      <c r="N155">
        <f>IF(AND(F155=0,OR($A155=$N152,$E155=$N152)),1,0)</f>
        <v>0</v>
      </c>
      <c r="O155">
        <f>IF(AND(F155=0,OR(AND($A155=$N152,$B155&gt;$D155),AND($E155=$N152,$D155&gt;$B155))),1,0)</f>
        <v>0</v>
      </c>
      <c r="P155">
        <f t="shared" si="197"/>
        <v>0</v>
      </c>
      <c r="Q155">
        <f>IF(AND(F155=0,OR(AND($A155=$N152,$B155&lt;$D155),AND($E155=$N152,$D155&lt;$B155))),1,0)</f>
        <v>0</v>
      </c>
      <c r="R155">
        <f>IF(F155&gt;0,0,IF($A155=$N152,$B155,IF($E155=$N152,$D155,0)))</f>
        <v>0</v>
      </c>
      <c r="S155">
        <f>IF(F155&gt;0,0,IF($A155=$N152,$D155,IF($E155=$N152,$B155,0)))</f>
        <v>0</v>
      </c>
      <c r="T155">
        <f t="shared" si="198"/>
        <v>0</v>
      </c>
      <c r="U155">
        <f>IF(AND(F155=0,OR($A155=$U152,$E155=$U152)),1,0)</f>
        <v>0</v>
      </c>
      <c r="V155">
        <f>IF(AND(F155=0,OR(AND($A155=$U152,$B155&gt;$D155),AND($E155=$U152,$D155&gt;$B155))),1,0)</f>
        <v>0</v>
      </c>
      <c r="W155">
        <f t="shared" si="199"/>
        <v>0</v>
      </c>
      <c r="X155">
        <f>IF(AND(F155=0,OR(AND($A155=$U152,$B155&lt;$D155),AND($E155=$U152,$D155&lt;$B155))),1,0)</f>
        <v>0</v>
      </c>
      <c r="Y155">
        <f>IF(F155&gt;0,0,IF($A155=$U152,$B155,IF($E155=$U152,$D155,0)))</f>
        <v>0</v>
      </c>
      <c r="Z155">
        <f>IF(F155&gt;0,0,IF($A155=$U152,$D155,IF($E155=$U152,$B155,0)))</f>
        <v>0</v>
      </c>
      <c r="AA155">
        <f t="shared" si="200"/>
        <v>0</v>
      </c>
      <c r="AB155">
        <f>IF(AND(F155=0,OR($A155=$AB152,$E155=$AB152)),1,0)</f>
        <v>0</v>
      </c>
      <c r="AC155">
        <f>IF(AND(F155=0,OR(AND($A155=$AB152,$B155&gt;$D155),AND($E155=$AB152,$D155&gt;$B155))),1,0)</f>
        <v>0</v>
      </c>
      <c r="AD155">
        <f t="shared" si="201"/>
        <v>0</v>
      </c>
      <c r="AE155">
        <f>IF(AND(F155=0,OR(AND($A155=$AB152,$B155&lt;$D155),AND($E155=$AB152,$D155&lt;$B155))),1,0)</f>
        <v>0</v>
      </c>
      <c r="AF155">
        <f>IF(F155&gt;0,0,IF($A155=$AB152,$B155,IF($E155=$AB152,$D155,0)))</f>
        <v>0</v>
      </c>
      <c r="AG155">
        <f>IF(F155&gt;0,0,IF($A155=$AB152,$D155,IF($E155=$AB152,$B155,0)))</f>
        <v>0</v>
      </c>
      <c r="AH155">
        <f t="shared" si="202"/>
        <v>0</v>
      </c>
      <c r="AJ155" s="28" t="str">
        <f>N152</f>
        <v/>
      </c>
      <c r="AK155" s="28">
        <f t="shared" ref="AK155:AQ155" si="204">N160</f>
        <v>0</v>
      </c>
      <c r="AL155" s="28">
        <f t="shared" si="204"/>
        <v>0</v>
      </c>
      <c r="AM155" s="28">
        <f t="shared" si="204"/>
        <v>0</v>
      </c>
      <c r="AN155" s="28">
        <f t="shared" si="204"/>
        <v>0</v>
      </c>
      <c r="AO155" s="28">
        <f t="shared" si="204"/>
        <v>0</v>
      </c>
      <c r="AP155" s="28">
        <f t="shared" si="204"/>
        <v>0</v>
      </c>
      <c r="AQ155" s="28">
        <f t="shared" si="204"/>
        <v>0</v>
      </c>
      <c r="AS155" s="28" t="str">
        <f>IF($AQ155&lt;=$AQ154,$AJ155,$AJ154)</f>
        <v/>
      </c>
      <c r="AT155" s="28">
        <f>VLOOKUP(AS155,$AJ154:$AQ157,8,FALSE)</f>
        <v>0</v>
      </c>
      <c r="AU155" s="28" t="str">
        <f>IF($AT155&gt;=$AT157,$AS155,$AS157)</f>
        <v/>
      </c>
      <c r="AV155" s="28">
        <f>VLOOKUP(AU155,$AS154:$AT157,2,FALSE)</f>
        <v>0</v>
      </c>
      <c r="AW155" s="28" t="str">
        <f>IF($AV155&gt;=$AV156,$AU155,$AU156)</f>
        <v/>
      </c>
      <c r="AX155" s="28">
        <f>VLOOKUP(AW155,$AU154:$AV157,2,FALSE)</f>
        <v>0</v>
      </c>
      <c r="AY155" s="28">
        <f>VLOOKUP(AW155,$AJ154:$AQ157,6,FALSE)</f>
        <v>0</v>
      </c>
      <c r="AZ155" s="28">
        <f>VLOOKUP(AW155,$AJ154:$AQ157,7,FALSE)</f>
        <v>0</v>
      </c>
      <c r="BA155" s="28">
        <f>AY155-AZ155</f>
        <v>0</v>
      </c>
      <c r="BB155" s="28" t="str">
        <f>IF(AND($AX154=$AX155,$BA155&gt;$BA154),$AW154,$AW155)</f>
        <v/>
      </c>
      <c r="BC155" s="28">
        <f>VLOOKUP(BB155,$AW154:$BA157,2,FALSE)</f>
        <v>0</v>
      </c>
      <c r="BD155" s="28">
        <f>VLOOKUP(BB155,$AW154:$BA157,5,FALSE)</f>
        <v>0</v>
      </c>
      <c r="BE155" s="28" t="str">
        <f>IF(AND($BC155=$BC157,$BD157&gt;$BD155),$BB157,$BB155)</f>
        <v/>
      </c>
      <c r="BF155" s="28">
        <f>VLOOKUP(BE155,$BB154:$BD157,2,FALSE)</f>
        <v>0</v>
      </c>
      <c r="BG155" s="28">
        <f>VLOOKUP(BE155,$BB154:$BD157,3,FALSE)</f>
        <v>0</v>
      </c>
      <c r="BH155" s="28" t="str">
        <f>IF(AND($BF155=$BF156,$BG156&gt;$BG155),$BE156,$BE155)</f>
        <v/>
      </c>
      <c r="BI155" s="28">
        <f>VLOOKUP(BH155,$BE154:$BG157,2,FALSE)</f>
        <v>0</v>
      </c>
      <c r="BJ155" s="28">
        <f>VLOOKUP(BH155,$BE154:$BG157,3,FALSE)</f>
        <v>0</v>
      </c>
      <c r="BK155" s="28">
        <f>VLOOKUP(BH155,$AJ154:$AQ157,6,FALSE)</f>
        <v>0</v>
      </c>
      <c r="BL155" s="28" t="str">
        <f>IF(AND($BI154=$BI155,$BJ154=$BJ155,$BK155&gt;$BK154),$BH154,$BH155)</f>
        <v/>
      </c>
      <c r="BM155" s="28">
        <f>VLOOKUP(BL155,$BH154:$BK157,2,FALSE)</f>
        <v>0</v>
      </c>
      <c r="BN155" s="28">
        <f>VLOOKUP(BL155,$BH154:$BK157,3,FALSE)</f>
        <v>0</v>
      </c>
      <c r="BO155" s="28">
        <f>VLOOKUP(BL155,$BH154:$BK157,4,FALSE)</f>
        <v>0</v>
      </c>
      <c r="BP155" s="28" t="str">
        <f>IF(AND($BM155=$BM157,$BN155=$BN157,$BO157&gt;$BO155),$BL157,$BL155)</f>
        <v/>
      </c>
      <c r="BQ155" s="28">
        <f>VLOOKUP(BP155,$BL154:$BO157,2,FALSE)</f>
        <v>0</v>
      </c>
      <c r="BR155" s="28">
        <f>VLOOKUP(BP155,$BL154:$BO157,3,FALSE)</f>
        <v>0</v>
      </c>
      <c r="BS155" s="28">
        <f>VLOOKUP(BP155,$BL154:$BO157,4,FALSE)</f>
        <v>0</v>
      </c>
      <c r="BT155" s="28" t="str">
        <f>IF(AND($BQ155=$BQ156,$BR155=$BR156,$BS156&gt;$BS155),$BP156,$BP155)</f>
        <v/>
      </c>
      <c r="BU155" s="28">
        <f>VLOOKUP(BT155,$BP154:$BS157,2,FALSE)</f>
        <v>0</v>
      </c>
      <c r="BV155" s="28">
        <f>VLOOKUP(BT155,$BP154:$BS157,3,FALSE)</f>
        <v>0</v>
      </c>
      <c r="BW155" s="28">
        <f>VLOOKUP(BT155,$BP154:$BS157,4,FALSE)</f>
        <v>0</v>
      </c>
      <c r="BX155" s="28" t="str">
        <f>BT155</f>
        <v/>
      </c>
      <c r="BY155" s="28">
        <f>VLOOKUP($BX155,$AJ154:$AQ157,2,FALSE)</f>
        <v>0</v>
      </c>
      <c r="BZ155" s="28">
        <f>VLOOKUP($BX155,$AJ154:$AQ157,3,FALSE)</f>
        <v>0</v>
      </c>
      <c r="CA155" s="28">
        <f>VLOOKUP($BX155,$AJ154:$AQ157,4,FALSE)</f>
        <v>0</v>
      </c>
      <c r="CB155" s="28">
        <f>VLOOKUP($BX155,$AJ154:$AQ157,5,FALSE)</f>
        <v>0</v>
      </c>
      <c r="CC155" s="28">
        <f>VLOOKUP($BX155,$AJ154:$AQ157,6,FALSE)</f>
        <v>0</v>
      </c>
      <c r="CD155" s="28">
        <f>VLOOKUP($BX155,$AJ154:$AQ157,7,FALSE)</f>
        <v>0</v>
      </c>
      <c r="CE155" s="28">
        <f>VLOOKUP($BX155,$AJ154:$AQ157,8,FALSE)</f>
        <v>0</v>
      </c>
      <c r="CF155" s="128" t="str">
        <f>CONCATENATE(CC155,":",CD155)</f>
        <v>0:0</v>
      </c>
    </row>
    <row r="156" spans="1:84" x14ac:dyDescent="0.2">
      <c r="A156" s="27" t="str">
        <f>'1-zapasy'!B125</f>
        <v/>
      </c>
      <c r="B156" s="220" t="str">
        <f>'1-zapasy'!I125</f>
        <v/>
      </c>
      <c r="C156" s="220" t="e">
        <f>'3-zapasy'!#REF!</f>
        <v>#REF!</v>
      </c>
      <c r="D156" s="220" t="str">
        <f>'1-zapasy'!J125</f>
        <v/>
      </c>
      <c r="E156" s="27" t="str">
        <f>'1-zapasy'!C125</f>
        <v/>
      </c>
      <c r="F156" s="28">
        <f>COUNTBLANK('1-zapasy'!I125:'1-zapasy'!J125)</f>
        <v>2</v>
      </c>
      <c r="G156" s="28">
        <f>IF(AND(F156=0,OR($A156=$G152,$E156=$G152)),1,0)</f>
        <v>0</v>
      </c>
      <c r="H156" s="28">
        <f>IF(AND(F156=0,OR(AND($A156=$G152,$B156&gt;$D156),AND($E156=$G152,$D156&gt;$B156))),1,0)</f>
        <v>0</v>
      </c>
      <c r="I156" s="28">
        <f t="shared" si="195"/>
        <v>0</v>
      </c>
      <c r="J156" s="28">
        <f>IF(AND(F156=0,OR(AND($A156=$G152,$B156&lt;$D156),AND($E156=$G152,$D156&lt;$B156))),1,0)</f>
        <v>0</v>
      </c>
      <c r="K156" s="28">
        <f>IF(F156&gt;0,0,IF($A156=$G152,$B156,IF($E156=$G152,$D156,0)))</f>
        <v>0</v>
      </c>
      <c r="L156" s="28">
        <f>IF(F156&gt;0,0,IF($A156=$G152,$D156,IF($E156=$G152,$B156,0)))</f>
        <v>0</v>
      </c>
      <c r="M156">
        <f t="shared" si="196"/>
        <v>0</v>
      </c>
      <c r="N156">
        <f>IF(AND(F156=0,OR($A156=$N152,$E156=$N152)),1,0)</f>
        <v>0</v>
      </c>
      <c r="O156">
        <f>IF(AND(F156=0,OR(AND($A156=$N152,$B156&gt;$D156),AND($E156=$N152,$D156&gt;$B156))),1,0)</f>
        <v>0</v>
      </c>
      <c r="P156">
        <f t="shared" si="197"/>
        <v>0</v>
      </c>
      <c r="Q156">
        <f>IF(AND(F156=0,OR(AND($A156=$N152,$B156&lt;$D156),AND($E156=$N152,$D156&lt;$B156))),1,0)</f>
        <v>0</v>
      </c>
      <c r="R156">
        <f>IF(F156&gt;0,0,IF($A156=$N152,$B156,IF($E156=$N152,$D156,0)))</f>
        <v>0</v>
      </c>
      <c r="S156">
        <f>IF(F156&gt;0,0,IF($A156=$N152,$D156,IF($E156=$N152,$B156,0)))</f>
        <v>0</v>
      </c>
      <c r="T156">
        <f t="shared" si="198"/>
        <v>0</v>
      </c>
      <c r="U156">
        <f>IF(AND(F156=0,OR($A156=$U152,$E156=$U152)),1,0)</f>
        <v>0</v>
      </c>
      <c r="V156">
        <f>IF(AND(F156=0,OR(AND($A156=$U152,$B156&gt;$D156),AND($E156=$U152,$D156&gt;$B156))),1,0)</f>
        <v>0</v>
      </c>
      <c r="W156">
        <f t="shared" si="199"/>
        <v>0</v>
      </c>
      <c r="X156">
        <f>IF(AND(F156=0,OR(AND($A156=$U152,$B156&lt;$D156),AND($E156=$U152,$D156&lt;$B156))),1,0)</f>
        <v>0</v>
      </c>
      <c r="Y156">
        <f>IF(F156&gt;0,0,IF($A156=$U152,$B156,IF($E156=$U152,$D156,0)))</f>
        <v>0</v>
      </c>
      <c r="Z156">
        <f>IF(F156&gt;0,0,IF($A156=$U152,$D156,IF($E156=$U152,$B156,0)))</f>
        <v>0</v>
      </c>
      <c r="AA156">
        <f t="shared" si="200"/>
        <v>0</v>
      </c>
      <c r="AB156">
        <f>IF(AND(F156=0,OR($A156=$AB152,$E156=$AB152)),1,0)</f>
        <v>0</v>
      </c>
      <c r="AC156">
        <f>IF(AND(F156=0,OR(AND($A156=$AB152,$B156&gt;$D156),AND($E156=$AB152,$D156&gt;$B156))),1,0)</f>
        <v>0</v>
      </c>
      <c r="AD156">
        <f t="shared" si="201"/>
        <v>0</v>
      </c>
      <c r="AE156">
        <f>IF(AND(F156=0,OR(AND($A156=$AB152,$B156&lt;$D156),AND($E156=$AB152,$D156&lt;$B156))),1,0)</f>
        <v>0</v>
      </c>
      <c r="AF156">
        <f>IF(F156&gt;0,0,IF($A156=$AB152,$B156,IF($E156=$AB152,$D156,0)))</f>
        <v>0</v>
      </c>
      <c r="AG156">
        <f>IF(F156&gt;0,0,IF($A156=$AB152,$D156,IF($E156=$AB152,$B156,0)))</f>
        <v>0</v>
      </c>
      <c r="AH156">
        <f t="shared" si="202"/>
        <v>0</v>
      </c>
      <c r="AJ156" s="28" t="str">
        <f>U152</f>
        <v/>
      </c>
      <c r="AK156" s="28">
        <f t="shared" ref="AK156:AQ156" si="205">U160</f>
        <v>0</v>
      </c>
      <c r="AL156" s="28">
        <f t="shared" si="205"/>
        <v>0</v>
      </c>
      <c r="AM156" s="28">
        <f t="shared" si="205"/>
        <v>0</v>
      </c>
      <c r="AN156" s="28">
        <f t="shared" si="205"/>
        <v>0</v>
      </c>
      <c r="AO156" s="28">
        <f t="shared" si="205"/>
        <v>0</v>
      </c>
      <c r="AP156" s="28">
        <f t="shared" si="205"/>
        <v>0</v>
      </c>
      <c r="AQ156" s="28">
        <f t="shared" si="205"/>
        <v>0</v>
      </c>
      <c r="AS156" s="28" t="str">
        <f>IF($AQ156&gt;=$AQ157,$AJ156,$AJ157)</f>
        <v/>
      </c>
      <c r="AT156" s="28">
        <f>VLOOKUP(AS156,$AJ154:$AQ157,8,FALSE)</f>
        <v>0</v>
      </c>
      <c r="AU156" s="28" t="str">
        <f>IF($AT156&lt;=$AT154,$AS156,$AS154)</f>
        <v/>
      </c>
      <c r="AV156" s="28">
        <f>VLOOKUP(AU156,$AS154:$AT157,2,FALSE)</f>
        <v>0</v>
      </c>
      <c r="AW156" s="28" t="str">
        <f>IF($AV156&lt;=$AV155,$AU156,$AU155)</f>
        <v/>
      </c>
      <c r="AX156" s="28">
        <f>VLOOKUP(AW156,$AU154:$AV157,2,FALSE)</f>
        <v>0</v>
      </c>
      <c r="AY156" s="28">
        <f>VLOOKUP(AW156,$AJ154:$AQ157,6,FALSE)</f>
        <v>0</v>
      </c>
      <c r="AZ156" s="28">
        <f>VLOOKUP(AW156,$AJ154:$AQ157,7,FALSE)</f>
        <v>0</v>
      </c>
      <c r="BA156" s="28">
        <f>AY156-AZ156</f>
        <v>0</v>
      </c>
      <c r="BB156" s="28" t="str">
        <f>IF(AND($AX156=$AX157,$BA157&gt;$BA156),$AW157,$AW156)</f>
        <v/>
      </c>
      <c r="BC156" s="28">
        <f>VLOOKUP(BB156,$AW154:$BA157,2,FALSE)</f>
        <v>0</v>
      </c>
      <c r="BD156" s="28">
        <f>VLOOKUP(BB156,$AW154:$BA157,5,FALSE)</f>
        <v>0</v>
      </c>
      <c r="BE156" s="28" t="str">
        <f>IF(AND($BC154=$BC156,$BD156&gt;$BD154),$BB154,$BB156)</f>
        <v/>
      </c>
      <c r="BF156" s="28">
        <f>VLOOKUP(BE156,$BB154:$BD157,2,FALSE)</f>
        <v>0</v>
      </c>
      <c r="BG156" s="28">
        <f>VLOOKUP(BE156,$BB154:$BD157,3,FALSE)</f>
        <v>0</v>
      </c>
      <c r="BH156" s="28" t="str">
        <f>IF(AND($BF155=$BF156,$BG156&gt;$BG155),$BE155,$BE156)</f>
        <v/>
      </c>
      <c r="BI156" s="28">
        <f>VLOOKUP(BH156,$BE154:$BG157,2,FALSE)</f>
        <v>0</v>
      </c>
      <c r="BJ156" s="28">
        <f>VLOOKUP(BH156,$BE154:$BG157,3,FALSE)</f>
        <v>0</v>
      </c>
      <c r="BK156" s="28">
        <f>VLOOKUP(BH156,$AJ154:$AQ157,6,FALSE)</f>
        <v>0</v>
      </c>
      <c r="BL156" s="28" t="str">
        <f>IF(AND($BI156=$BI157,$BJ156=$BJ157,$BK157&gt;$BK156),$BH157,$BH156)</f>
        <v/>
      </c>
      <c r="BM156" s="28">
        <f>VLOOKUP(BL156,$BH154:$BK157,2,FALSE)</f>
        <v>0</v>
      </c>
      <c r="BN156" s="28">
        <f>VLOOKUP(BL156,$BH154:$BK157,3,FALSE)</f>
        <v>0</v>
      </c>
      <c r="BO156" s="28">
        <f>VLOOKUP(BL156,$BH154:$BK157,4,FALSE)</f>
        <v>0</v>
      </c>
      <c r="BP156" s="28" t="str">
        <f>IF(AND($BM154=$BM156,$BN154=$BN156,$BO156&gt;$BO154),$BL154,$BL156)</f>
        <v/>
      </c>
      <c r="BQ156" s="28">
        <f>VLOOKUP(BP156,$BL154:$BO157,2,FALSE)</f>
        <v>0</v>
      </c>
      <c r="BR156" s="28">
        <f>VLOOKUP(BP156,$BL154:$BO157,3,FALSE)</f>
        <v>0</v>
      </c>
      <c r="BS156" s="28">
        <f>VLOOKUP(BP156,$BL154:$BO157,4,FALSE)</f>
        <v>0</v>
      </c>
      <c r="BT156" s="28" t="str">
        <f>IF(AND($BQ155=$BQ156,$BR155=$BR156,$BS156&gt;$BS155),$BP155,$BP156)</f>
        <v/>
      </c>
      <c r="BU156" s="28">
        <f>VLOOKUP(BT156,$BP154:$BS157,2,FALSE)</f>
        <v>0</v>
      </c>
      <c r="BV156" s="28">
        <f>VLOOKUP(BT156,$BP154:$BS157,3,FALSE)</f>
        <v>0</v>
      </c>
      <c r="BW156" s="28">
        <f>VLOOKUP(BT156,$BP154:$BS157,4,FALSE)</f>
        <v>0</v>
      </c>
      <c r="BX156" s="28" t="str">
        <f>BT156</f>
        <v/>
      </c>
      <c r="BY156" s="28">
        <f>VLOOKUP($BX156,$AJ154:$AQ157,2,FALSE)</f>
        <v>0</v>
      </c>
      <c r="BZ156" s="28">
        <f>VLOOKUP($BX156,$AJ154:$AQ157,3,FALSE)</f>
        <v>0</v>
      </c>
      <c r="CA156" s="28">
        <f>VLOOKUP($BX156,$AJ154:$AQ157,4,FALSE)</f>
        <v>0</v>
      </c>
      <c r="CB156" s="28">
        <f>VLOOKUP($BX156,$AJ154:$AQ157,5,FALSE)</f>
        <v>0</v>
      </c>
      <c r="CC156" s="28">
        <f>VLOOKUP($BX156,$AJ154:$AQ157,6,FALSE)</f>
        <v>0</v>
      </c>
      <c r="CD156" s="28">
        <f>VLOOKUP($BX156,$AJ154:$AQ157,7,FALSE)</f>
        <v>0</v>
      </c>
      <c r="CE156" s="28">
        <f>VLOOKUP($BX156,$AJ154:$AQ157,8,FALSE)</f>
        <v>0</v>
      </c>
      <c r="CF156" s="128" t="str">
        <f>CONCATENATE(CC156,":",CD156)</f>
        <v>0:0</v>
      </c>
    </row>
    <row r="157" spans="1:84" x14ac:dyDescent="0.2">
      <c r="A157" s="27" t="str">
        <f>'1-zapasy'!B126</f>
        <v/>
      </c>
      <c r="B157" s="220" t="str">
        <f>'1-zapasy'!I126</f>
        <v/>
      </c>
      <c r="C157" s="220" t="e">
        <f>'3-zapasy'!#REF!</f>
        <v>#REF!</v>
      </c>
      <c r="D157" s="220" t="str">
        <f>'1-zapasy'!J126</f>
        <v/>
      </c>
      <c r="E157" s="27" t="str">
        <f>'1-zapasy'!C126</f>
        <v/>
      </c>
      <c r="F157" s="28">
        <f>COUNTBLANK('1-zapasy'!I126:'1-zapasy'!J126)</f>
        <v>2</v>
      </c>
      <c r="G157" s="28">
        <f>IF(AND(F157=0,OR($A157=$G152,$E157=$G152)),1,0)</f>
        <v>0</v>
      </c>
      <c r="H157" s="28">
        <f>IF(AND(F157=0,OR(AND($A157=$G152,$B157&gt;$D157),AND($E157=$G152,$D157&gt;$B157))),1,0)</f>
        <v>0</v>
      </c>
      <c r="I157" s="28">
        <f t="shared" si="195"/>
        <v>0</v>
      </c>
      <c r="J157" s="28">
        <f>IF(AND(F157=0,OR(AND($A157=$G152,$B157&lt;$D157),AND($E157=$G152,$D157&lt;$B157))),1,0)</f>
        <v>0</v>
      </c>
      <c r="K157" s="28">
        <f>IF(F157&gt;0,0,IF($A157=$G152,$B157,IF($E157=$G152,$D157,0)))</f>
        <v>0</v>
      </c>
      <c r="L157" s="28">
        <f>IF(F157&gt;0,0,IF($A157=$G152,$D157,IF($E157=$G152,$B157,0)))</f>
        <v>0</v>
      </c>
      <c r="M157">
        <f t="shared" si="196"/>
        <v>0</v>
      </c>
      <c r="N157">
        <f>IF(AND(F157=0,OR($A157=$N152,$E157=$N152)),1,0)</f>
        <v>0</v>
      </c>
      <c r="O157">
        <f>IF(AND(F157=0,OR(AND($A157=$N152,$B157&gt;$D157),AND($E157=$N152,$D157&gt;$B157))),1,0)</f>
        <v>0</v>
      </c>
      <c r="P157">
        <f t="shared" si="197"/>
        <v>0</v>
      </c>
      <c r="Q157">
        <f>IF(AND(F157=0,OR(AND($A157=$N152,$B157&lt;$D157),AND($E157=$N152,$D157&lt;$B157))),1,0)</f>
        <v>0</v>
      </c>
      <c r="R157">
        <f>IF(F157&gt;0,0,IF($A157=$N152,$B157,IF($E157=$N152,$D157,0)))</f>
        <v>0</v>
      </c>
      <c r="S157">
        <f>IF(F157&gt;0,0,IF($A157=$N152,$D157,IF($E157=$N152,$B157,0)))</f>
        <v>0</v>
      </c>
      <c r="T157">
        <f t="shared" si="198"/>
        <v>0</v>
      </c>
      <c r="U157">
        <f>IF(AND(F157=0,OR($A157=$U152,$E157=$U152)),1,0)</f>
        <v>0</v>
      </c>
      <c r="V157">
        <f>IF(AND(F157=0,OR(AND($A157=$U152,$B157&gt;$D157),AND($E157=$U152,$D157&gt;$B157))),1,0)</f>
        <v>0</v>
      </c>
      <c r="W157">
        <f t="shared" si="199"/>
        <v>0</v>
      </c>
      <c r="X157">
        <f>IF(AND(F157=0,OR(AND($A157=$U152,$B157&lt;$D157),AND($E157=$U152,$D157&lt;$B157))),1,0)</f>
        <v>0</v>
      </c>
      <c r="Y157">
        <f>IF(F157&gt;0,0,IF($A157=$U152,$B157,IF($E157=$U152,$D157,0)))</f>
        <v>0</v>
      </c>
      <c r="Z157">
        <f>IF(F157&gt;0,0,IF($A157=$U152,$D157,IF($E157=$U152,$B157,0)))</f>
        <v>0</v>
      </c>
      <c r="AA157">
        <f t="shared" si="200"/>
        <v>0</v>
      </c>
      <c r="AB157">
        <f>IF(AND(F157=0,OR($A157=$AB152,$E157=$AB152)),1,0)</f>
        <v>0</v>
      </c>
      <c r="AC157">
        <f>IF(AND(F157=0,OR(AND($A157=$AB152,$B157&gt;$D157),AND($E157=$AB152,$D157&gt;$B157))),1,0)</f>
        <v>0</v>
      </c>
      <c r="AD157">
        <f t="shared" si="201"/>
        <v>0</v>
      </c>
      <c r="AE157">
        <f>IF(AND(F157=0,OR(AND($A157=$AB152,$B157&lt;$D157),AND($E157=$AB152,$D157&lt;$B157))),1,0)</f>
        <v>0</v>
      </c>
      <c r="AF157">
        <f>IF(F157&gt;0,0,IF($A157=$AB152,$B157,IF($E157=$AB152,$D157,0)))</f>
        <v>0</v>
      </c>
      <c r="AG157">
        <f>IF(F157&gt;0,0,IF($A157=$AB152,$D157,IF($E157=$AB152,$B157,0)))</f>
        <v>0</v>
      </c>
      <c r="AH157">
        <f t="shared" si="202"/>
        <v>0</v>
      </c>
      <c r="AJ157" s="28" t="str">
        <f>AB152</f>
        <v/>
      </c>
      <c r="AK157" s="28">
        <f t="shared" ref="AK157:AQ157" si="206">AB160</f>
        <v>0</v>
      </c>
      <c r="AL157" s="28">
        <f t="shared" si="206"/>
        <v>0</v>
      </c>
      <c r="AM157" s="28">
        <f t="shared" si="206"/>
        <v>0</v>
      </c>
      <c r="AN157" s="28">
        <f t="shared" si="206"/>
        <v>0</v>
      </c>
      <c r="AO157" s="28">
        <f t="shared" si="206"/>
        <v>0</v>
      </c>
      <c r="AP157" s="28">
        <f t="shared" si="206"/>
        <v>0</v>
      </c>
      <c r="AQ157" s="28">
        <f t="shared" si="206"/>
        <v>0</v>
      </c>
      <c r="AS157" s="28" t="str">
        <f>IF($AQ157&lt;=$AQ156,$AJ157,$AJ156)</f>
        <v/>
      </c>
      <c r="AT157" s="28">
        <f>VLOOKUP(AS157,$AJ154:$AQ157,8,FALSE)</f>
        <v>0</v>
      </c>
      <c r="AU157" s="28" t="str">
        <f>IF($AT157&lt;=$AT155,$AS157,$AS155)</f>
        <v/>
      </c>
      <c r="AV157" s="28">
        <f>VLOOKUP(AU157,$AS154:$AT157,2,FALSE)</f>
        <v>0</v>
      </c>
      <c r="AW157" s="28" t="str">
        <f>IF($AV157&lt;=$AV154,$AU157,$AU154)</f>
        <v/>
      </c>
      <c r="AX157" s="28">
        <f>VLOOKUP(AW157,$AU154:$AV157,2,FALSE)</f>
        <v>0</v>
      </c>
      <c r="AY157" s="28">
        <f>VLOOKUP(AW157,$AJ154:$AQ157,6,FALSE)</f>
        <v>0</v>
      </c>
      <c r="AZ157" s="28">
        <f>VLOOKUP(AW157,$AJ154:$AQ157,7,FALSE)</f>
        <v>0</v>
      </c>
      <c r="BA157" s="28">
        <f>AY157-AZ157</f>
        <v>0</v>
      </c>
      <c r="BB157" s="28" t="str">
        <f>IF(AND($AX156=$AX157,$BA157&gt;$BA156),$AW156,$AW157)</f>
        <v/>
      </c>
      <c r="BC157" s="28">
        <f>VLOOKUP(BB157,$AW154:$BA157,2,FALSE)</f>
        <v>0</v>
      </c>
      <c r="BD157" s="28">
        <f>VLOOKUP(BB157,$AW154:$BA157,5,FALSE)</f>
        <v>0</v>
      </c>
      <c r="BE157" s="28" t="str">
        <f>IF(AND($BC155=$BC157,$BD157&gt;$BD155),$BB155,$BB157)</f>
        <v/>
      </c>
      <c r="BF157" s="28">
        <f>VLOOKUP(BE157,$BB154:$BD157,2,FALSE)</f>
        <v>0</v>
      </c>
      <c r="BG157" s="28">
        <f>VLOOKUP(BE157,$BB154:$BD157,3,FALSE)</f>
        <v>0</v>
      </c>
      <c r="BH157" s="28" t="str">
        <f>IF(AND($BF154=$BF157,$BG157&gt;$BG154),$BE154,$BE157)</f>
        <v/>
      </c>
      <c r="BI157" s="28">
        <f>VLOOKUP(BH157,$BE154:$BG157,2,FALSE)</f>
        <v>0</v>
      </c>
      <c r="BJ157" s="28">
        <f>VLOOKUP(BH157,$BE154:$BG157,3,FALSE)</f>
        <v>0</v>
      </c>
      <c r="BK157" s="28">
        <f>VLOOKUP(BH157,$AJ154:$AQ157,6,FALSE)</f>
        <v>0</v>
      </c>
      <c r="BL157" s="28" t="str">
        <f>IF(AND($BI156=$BI157,$BJ156=$BJ157,$BK157&gt;$BK156),$BH156,$BH157)</f>
        <v/>
      </c>
      <c r="BM157" s="28">
        <f>VLOOKUP(BL157,$BH154:$BK157,2,FALSE)</f>
        <v>0</v>
      </c>
      <c r="BN157" s="28">
        <f>VLOOKUP(BL157,$BH154:$BK157,3,FALSE)</f>
        <v>0</v>
      </c>
      <c r="BO157" s="28">
        <f>VLOOKUP(BL157,$BH154:$BK157,4,FALSE)</f>
        <v>0</v>
      </c>
      <c r="BP157" s="28" t="str">
        <f>IF(AND($BM155=$BM157,$BN155=$BN157,$BO157&gt;$BO155),$BL155,$BL157)</f>
        <v/>
      </c>
      <c r="BQ157" s="28">
        <f>VLOOKUP(BP157,$BL154:$BO157,2,FALSE)</f>
        <v>0</v>
      </c>
      <c r="BR157" s="28">
        <f>VLOOKUP(BP157,$BL154:$BO157,3,FALSE)</f>
        <v>0</v>
      </c>
      <c r="BS157" s="28">
        <f>VLOOKUP(BP157,$BL154:$BO157,4,FALSE)</f>
        <v>0</v>
      </c>
      <c r="BT157" s="28" t="str">
        <f>IF(AND($BQ154=$BQ157,$BR154=$BR157,$BS157&gt;$BS154),$BP154,$BP157)</f>
        <v/>
      </c>
      <c r="BU157" s="28">
        <f>VLOOKUP(BT157,$BP154:$BS157,2,FALSE)</f>
        <v>0</v>
      </c>
      <c r="BV157" s="28">
        <f>VLOOKUP(BT157,$BP154:$BS157,3,FALSE)</f>
        <v>0</v>
      </c>
      <c r="BW157" s="28">
        <f>VLOOKUP(BT157,$BP154:$BS157,4,FALSE)</f>
        <v>0</v>
      </c>
      <c r="BX157" s="28" t="str">
        <f>BT157</f>
        <v/>
      </c>
      <c r="BY157" s="28">
        <f>VLOOKUP($BX157,$AJ154:$AQ157,2,FALSE)</f>
        <v>0</v>
      </c>
      <c r="BZ157" s="28">
        <f>VLOOKUP($BX157,$AJ154:$AQ157,3,FALSE)</f>
        <v>0</v>
      </c>
      <c r="CA157" s="28">
        <f>VLOOKUP($BX157,$AJ154:$AQ157,4,FALSE)</f>
        <v>0</v>
      </c>
      <c r="CB157" s="28">
        <f>VLOOKUP($BX157,$AJ154:$AQ157,5,FALSE)</f>
        <v>0</v>
      </c>
      <c r="CC157" s="28">
        <f>VLOOKUP($BX157,$AJ154:$AQ157,6,FALSE)</f>
        <v>0</v>
      </c>
      <c r="CD157" s="28">
        <f>VLOOKUP($BX157,$AJ154:$AQ157,7,FALSE)</f>
        <v>0</v>
      </c>
      <c r="CE157" s="28">
        <f>VLOOKUP($BX157,$AJ154:$AQ157,8,FALSE)</f>
        <v>0</v>
      </c>
      <c r="CF157" s="128" t="str">
        <f>CONCATENATE(CC157,":",CD157)</f>
        <v>0:0</v>
      </c>
    </row>
    <row r="158" spans="1:84" x14ac:dyDescent="0.2">
      <c r="A158" s="27" t="str">
        <f>'1-zapasy'!B127</f>
        <v/>
      </c>
      <c r="B158" s="220" t="str">
        <f>'1-zapasy'!I127</f>
        <v/>
      </c>
      <c r="C158" s="220" t="e">
        <f>'3-zapasy'!#REF!</f>
        <v>#REF!</v>
      </c>
      <c r="D158" s="220" t="str">
        <f>'1-zapasy'!J127</f>
        <v/>
      </c>
      <c r="E158" s="27" t="str">
        <f>'1-zapasy'!C127</f>
        <v/>
      </c>
      <c r="F158" s="28">
        <f>COUNTBLANK('1-zapasy'!I127:'1-zapasy'!J127)</f>
        <v>2</v>
      </c>
      <c r="G158" s="28">
        <f>IF(AND(F158=0,OR($A158=$G152,$E158=$G152)),1,0)</f>
        <v>0</v>
      </c>
      <c r="H158" s="28">
        <f>IF(AND(F158=0,OR(AND($A158=$G152,$B158&gt;$D158),AND($E158=$G152,$D158&gt;$B158))),1,0)</f>
        <v>0</v>
      </c>
      <c r="I158" s="28">
        <f t="shared" si="195"/>
        <v>0</v>
      </c>
      <c r="J158" s="28">
        <f>IF(AND(F158=0,OR(AND($A158=$G152,$B158&lt;$D158),AND($E158=$G152,$D158&lt;$B158))),1,0)</f>
        <v>0</v>
      </c>
      <c r="K158" s="28">
        <f>IF(F158&gt;0,0,IF($A158=$G152,$B158,IF($E158=$G152,$D158,0)))</f>
        <v>0</v>
      </c>
      <c r="L158" s="28">
        <f>IF(F158&gt;0,0,IF($A158=$G152,$D158,IF($E158=$G152,$B158,0)))</f>
        <v>0</v>
      </c>
      <c r="M158">
        <f t="shared" si="196"/>
        <v>0</v>
      </c>
      <c r="N158">
        <f>IF(AND(F158=0,OR($A158=$N152,$E158=$N152)),1,0)</f>
        <v>0</v>
      </c>
      <c r="O158">
        <f>IF(AND(F158=0,OR(AND($A158=$N152,$B158&gt;$D158),AND($E158=$N152,$D158&gt;$B158))),1,0)</f>
        <v>0</v>
      </c>
      <c r="P158">
        <f t="shared" si="197"/>
        <v>0</v>
      </c>
      <c r="Q158">
        <f>IF(AND(F158=0,OR(AND($A158=$N152,$B158&lt;$D158),AND($E158=$N152,$D158&lt;$B158))),1,0)</f>
        <v>0</v>
      </c>
      <c r="R158">
        <f>IF(F158&gt;0,0,IF($A158=$N152,$B158,IF($E158=$N152,$D158,0)))</f>
        <v>0</v>
      </c>
      <c r="S158">
        <f>IF(F158&gt;0,0,IF($A158=$N152,$D158,IF($E158=$N152,$B158,0)))</f>
        <v>0</v>
      </c>
      <c r="T158">
        <f t="shared" si="198"/>
        <v>0</v>
      </c>
      <c r="U158">
        <f>IF(AND(F158=0,OR($A158=$U152,$E158=$U152)),1,0)</f>
        <v>0</v>
      </c>
      <c r="V158">
        <f>IF(AND(F158=0,OR(AND($A158=$U152,$B158&gt;$D158),AND($E158=$U152,$D158&gt;$B158))),1,0)</f>
        <v>0</v>
      </c>
      <c r="W158">
        <f t="shared" si="199"/>
        <v>0</v>
      </c>
      <c r="X158">
        <f>IF(AND(F158=0,OR(AND($A158=$U152,$B158&lt;$D158),AND($E158=$U152,$D158&lt;$B158))),1,0)</f>
        <v>0</v>
      </c>
      <c r="Y158">
        <f>IF(F158&gt;0,0,IF($A158=$U152,$B158,IF($E158=$U152,$D158,0)))</f>
        <v>0</v>
      </c>
      <c r="Z158">
        <f>IF(F158&gt;0,0,IF($A158=$U152,$D158,IF($E158=$U152,$B158,0)))</f>
        <v>0</v>
      </c>
      <c r="AA158">
        <f t="shared" si="200"/>
        <v>0</v>
      </c>
      <c r="AB158">
        <f>IF(AND(F158=0,OR($A158=$AB152,$E158=$AB152)),1,0)</f>
        <v>0</v>
      </c>
      <c r="AC158">
        <f>IF(AND(F158=0,OR(AND($A158=$AB152,$B158&gt;$D158),AND($E158=$AB152,$D158&gt;$B158))),1,0)</f>
        <v>0</v>
      </c>
      <c r="AD158">
        <f t="shared" si="201"/>
        <v>0</v>
      </c>
      <c r="AE158">
        <f>IF(AND(F158=0,OR(AND($A158=$AB152,$B158&lt;$D158),AND($E158=$AB152,$D158&lt;$B158))),1,0)</f>
        <v>0</v>
      </c>
      <c r="AF158">
        <f>IF(F158&gt;0,0,IF($A158=$AB152,$B158,IF($E158=$AB152,$D158,0)))</f>
        <v>0</v>
      </c>
      <c r="AG158">
        <f>IF(F158&gt;0,0,IF($A158=$AB152,$D158,IF($E158=$AB152,$B158,0)))</f>
        <v>0</v>
      </c>
      <c r="AH158">
        <f t="shared" si="202"/>
        <v>0</v>
      </c>
    </row>
    <row r="159" spans="1:84" x14ac:dyDescent="0.2">
      <c r="A159" s="27" t="str">
        <f>'1-zapasy'!B128</f>
        <v/>
      </c>
      <c r="B159" s="220" t="str">
        <f>'1-zapasy'!I128</f>
        <v/>
      </c>
      <c r="C159" s="220" t="e">
        <f>'3-zapasy'!#REF!</f>
        <v>#REF!</v>
      </c>
      <c r="D159" s="220" t="str">
        <f>'1-zapasy'!J128</f>
        <v/>
      </c>
      <c r="E159" s="27" t="str">
        <f>'1-zapasy'!C128</f>
        <v/>
      </c>
      <c r="F159" s="28">
        <f>COUNTBLANK('1-zapasy'!I128:'1-zapasy'!J128)</f>
        <v>2</v>
      </c>
      <c r="G159" s="28">
        <f>IF(AND(F159=0,OR($A159=$G152,$E159=$G152)),1,0)</f>
        <v>0</v>
      </c>
      <c r="H159" s="28">
        <f>IF(AND(F159=0,OR(AND($A159=$G152,$B159&gt;$D159),AND($E159=$G152,$D159&gt;$B159))),1,0)</f>
        <v>0</v>
      </c>
      <c r="I159" s="28">
        <f t="shared" si="195"/>
        <v>0</v>
      </c>
      <c r="J159" s="28">
        <f>IF(AND(F159=0,OR(AND($A159=$G152,$B159&lt;$D159),AND($E159=$G152,$D159&lt;$B159))),1,0)</f>
        <v>0</v>
      </c>
      <c r="K159" s="28">
        <f>IF(F159&gt;0,0,IF($A159=$G152,$B159,IF($E159=$G152,$D159,0)))</f>
        <v>0</v>
      </c>
      <c r="L159" s="28">
        <f>IF(F159&gt;0,0,IF($A159=$G152,$D159,IF($E159=$G152,$B159,0)))</f>
        <v>0</v>
      </c>
      <c r="M159">
        <f t="shared" si="196"/>
        <v>0</v>
      </c>
      <c r="N159">
        <f>IF(AND(F159=0,OR($A159=$N152,$E159=$N152)),1,0)</f>
        <v>0</v>
      </c>
      <c r="O159">
        <f>IF(AND(F159=0,OR(AND($A159=$N152,$B159&gt;$D159),AND($E159=$N152,$D159&gt;$B159))),1,0)</f>
        <v>0</v>
      </c>
      <c r="P159">
        <f t="shared" si="197"/>
        <v>0</v>
      </c>
      <c r="Q159">
        <f>IF(AND(F159=0,OR(AND($A159=$N152,$B159&lt;$D159),AND($E159=$N152,$D159&lt;$B159))),1,0)</f>
        <v>0</v>
      </c>
      <c r="R159">
        <f>IF(F159&gt;0,0,IF($A159=$N152,$B159,IF($E159=$N152,$D159,0)))</f>
        <v>0</v>
      </c>
      <c r="S159">
        <f>IF(F159&gt;0,0,IF($A159=$N152,$D159,IF($E159=$N152,$B159,0)))</f>
        <v>0</v>
      </c>
      <c r="T159">
        <f t="shared" si="198"/>
        <v>0</v>
      </c>
      <c r="U159">
        <f>IF(AND(F159=0,OR($A159=$U152,$E159=$U152)),1,0)</f>
        <v>0</v>
      </c>
      <c r="V159">
        <f>IF(AND(F159=0,OR(AND($A159=$U152,$B159&gt;$D159),AND($E159=$U152,$D159&gt;$B159))),1,0)</f>
        <v>0</v>
      </c>
      <c r="W159">
        <f t="shared" si="199"/>
        <v>0</v>
      </c>
      <c r="X159">
        <f>IF(AND(F159=0,OR(AND($A159=$U152,$B159&lt;$D159),AND($E159=$U152,$D159&lt;$B159))),1,0)</f>
        <v>0</v>
      </c>
      <c r="Y159">
        <f>IF(F159&gt;0,0,IF($A159=$U152,$B159,IF($E159=$U152,$D159,0)))</f>
        <v>0</v>
      </c>
      <c r="Z159">
        <f>IF(F159&gt;0,0,IF($A159=$U152,$D159,IF($E159=$U152,$B159,0)))</f>
        <v>0</v>
      </c>
      <c r="AA159">
        <f t="shared" si="200"/>
        <v>0</v>
      </c>
      <c r="AB159">
        <f>IF(AND(F159=0,OR($A159=$AB152,$E159=$AB152)),1,0)</f>
        <v>0</v>
      </c>
      <c r="AC159">
        <f>IF(AND(F159=0,OR(AND($A159=$AB152,$B159&gt;$D159),AND($E159=$AB152,$D159&gt;$B159))),1,0)</f>
        <v>0</v>
      </c>
      <c r="AD159">
        <f t="shared" si="201"/>
        <v>0</v>
      </c>
      <c r="AE159">
        <f>IF(AND(F159=0,OR(AND($A159=$AB152,$B159&lt;$D159),AND($E159=$AB152,$D159&lt;$B159))),1,0)</f>
        <v>0</v>
      </c>
      <c r="AF159">
        <f>IF(F159&gt;0,0,IF($A159=$AB152,$B159,IF($E159=$AB152,$D159,0)))</f>
        <v>0</v>
      </c>
      <c r="AG159">
        <f>IF(F159&gt;0,0,IF($A159=$AB152,$D159,IF($E159=$AB152,$B159,0)))</f>
        <v>0</v>
      </c>
      <c r="AH159">
        <f t="shared" si="202"/>
        <v>0</v>
      </c>
    </row>
    <row r="160" spans="1:84" x14ac:dyDescent="0.2">
      <c r="G160" s="28">
        <f>SUM(G154:G159)</f>
        <v>0</v>
      </c>
      <c r="H160" s="28">
        <f t="shared" ref="H160:AH160" si="207">SUM(H154:H159)</f>
        <v>0</v>
      </c>
      <c r="I160" s="28">
        <f t="shared" si="207"/>
        <v>0</v>
      </c>
      <c r="J160" s="28">
        <f t="shared" si="207"/>
        <v>0</v>
      </c>
      <c r="K160" s="28">
        <f t="shared" si="207"/>
        <v>0</v>
      </c>
      <c r="L160" s="28">
        <f t="shared" si="207"/>
        <v>0</v>
      </c>
      <c r="M160">
        <f t="shared" si="207"/>
        <v>0</v>
      </c>
      <c r="N160">
        <f t="shared" si="207"/>
        <v>0</v>
      </c>
      <c r="O160">
        <f t="shared" si="207"/>
        <v>0</v>
      </c>
      <c r="P160">
        <f t="shared" si="207"/>
        <v>0</v>
      </c>
      <c r="Q160">
        <f t="shared" si="207"/>
        <v>0</v>
      </c>
      <c r="R160">
        <f t="shared" si="207"/>
        <v>0</v>
      </c>
      <c r="S160">
        <f t="shared" si="207"/>
        <v>0</v>
      </c>
      <c r="T160">
        <f t="shared" si="207"/>
        <v>0</v>
      </c>
      <c r="U160">
        <f t="shared" si="207"/>
        <v>0</v>
      </c>
      <c r="V160">
        <f t="shared" si="207"/>
        <v>0</v>
      </c>
      <c r="W160">
        <f t="shared" si="207"/>
        <v>0</v>
      </c>
      <c r="X160">
        <f t="shared" si="207"/>
        <v>0</v>
      </c>
      <c r="Y160">
        <f t="shared" si="207"/>
        <v>0</v>
      </c>
      <c r="Z160">
        <f t="shared" si="207"/>
        <v>0</v>
      </c>
      <c r="AA160">
        <f t="shared" si="207"/>
        <v>0</v>
      </c>
      <c r="AB160">
        <f t="shared" si="207"/>
        <v>0</v>
      </c>
      <c r="AC160">
        <f t="shared" si="207"/>
        <v>0</v>
      </c>
      <c r="AD160">
        <f t="shared" si="207"/>
        <v>0</v>
      </c>
      <c r="AE160">
        <f t="shared" si="207"/>
        <v>0</v>
      </c>
      <c r="AF160">
        <f t="shared" si="207"/>
        <v>0</v>
      </c>
      <c r="AG160">
        <f t="shared" si="207"/>
        <v>0</v>
      </c>
      <c r="AH160">
        <f t="shared" si="207"/>
        <v>0</v>
      </c>
    </row>
    <row r="162" spans="1:34" x14ac:dyDescent="0.2">
      <c r="A162" s="463"/>
      <c r="B162" s="464"/>
      <c r="C162" s="464"/>
      <c r="D162" s="464"/>
      <c r="E162" s="464"/>
    </row>
    <row r="163" spans="1:34" x14ac:dyDescent="0.2">
      <c r="A163" s="464"/>
      <c r="B163" s="464"/>
      <c r="C163" s="464"/>
      <c r="D163" s="464"/>
      <c r="E163" s="464"/>
    </row>
    <row r="164" spans="1:34" x14ac:dyDescent="0.2">
      <c r="M164"/>
      <c r="N164"/>
      <c r="O164"/>
      <c r="P164"/>
      <c r="Q164"/>
      <c r="R164"/>
      <c r="S164"/>
      <c r="T164"/>
      <c r="U164"/>
      <c r="V164"/>
      <c r="W164"/>
      <c r="X164"/>
      <c r="Y164"/>
      <c r="Z164"/>
      <c r="AA164"/>
      <c r="AB164"/>
      <c r="AC164"/>
      <c r="AD164"/>
      <c r="AE164"/>
      <c r="AF164"/>
      <c r="AG164"/>
      <c r="AH164"/>
    </row>
    <row r="165" spans="1:34" x14ac:dyDescent="0.2">
      <c r="M165"/>
      <c r="N165"/>
      <c r="O165"/>
      <c r="P165"/>
      <c r="Q165"/>
      <c r="R165"/>
      <c r="S165"/>
      <c r="T165"/>
      <c r="U165"/>
      <c r="V165"/>
      <c r="W165"/>
      <c r="X165"/>
      <c r="Y165"/>
      <c r="Z165"/>
      <c r="AA165"/>
      <c r="AB165"/>
      <c r="AC165"/>
      <c r="AD165"/>
      <c r="AE165"/>
      <c r="AF165"/>
      <c r="AG165"/>
      <c r="AH165"/>
    </row>
    <row r="166" spans="1:34" x14ac:dyDescent="0.2">
      <c r="M166"/>
      <c r="N166"/>
      <c r="O166"/>
      <c r="P166"/>
      <c r="Q166"/>
      <c r="R166"/>
      <c r="S166"/>
      <c r="T166"/>
      <c r="U166"/>
      <c r="V166"/>
      <c r="W166"/>
      <c r="X166"/>
      <c r="Y166"/>
      <c r="Z166"/>
      <c r="AA166"/>
      <c r="AB166"/>
      <c r="AC166"/>
      <c r="AD166"/>
      <c r="AE166"/>
      <c r="AF166"/>
      <c r="AG166"/>
      <c r="AH166"/>
    </row>
    <row r="167" spans="1:34" x14ac:dyDescent="0.2">
      <c r="M167"/>
      <c r="N167"/>
      <c r="O167"/>
      <c r="P167"/>
      <c r="Q167"/>
      <c r="R167"/>
      <c r="S167"/>
      <c r="T167"/>
      <c r="U167"/>
      <c r="V167"/>
      <c r="W167"/>
      <c r="X167"/>
      <c r="Y167"/>
      <c r="Z167"/>
      <c r="AA167"/>
      <c r="AB167"/>
      <c r="AC167"/>
      <c r="AD167"/>
      <c r="AE167"/>
      <c r="AF167"/>
      <c r="AG167"/>
      <c r="AH167"/>
    </row>
    <row r="168" spans="1:34" x14ac:dyDescent="0.2">
      <c r="M168"/>
      <c r="N168"/>
      <c r="O168"/>
      <c r="P168"/>
      <c r="Q168"/>
      <c r="R168"/>
      <c r="S168"/>
      <c r="T168"/>
      <c r="U168"/>
      <c r="V168"/>
      <c r="W168"/>
      <c r="X168"/>
      <c r="Y168"/>
      <c r="Z168"/>
      <c r="AA168"/>
      <c r="AB168"/>
      <c r="AC168"/>
      <c r="AD168"/>
      <c r="AE168"/>
      <c r="AF168"/>
      <c r="AG168"/>
      <c r="AH168"/>
    </row>
    <row r="169" spans="1:34" x14ac:dyDescent="0.2">
      <c r="M169"/>
      <c r="N169"/>
      <c r="O169"/>
      <c r="P169"/>
      <c r="Q169"/>
      <c r="R169"/>
      <c r="S169"/>
      <c r="T169"/>
      <c r="U169"/>
      <c r="V169"/>
      <c r="W169"/>
      <c r="X169"/>
      <c r="Y169"/>
      <c r="Z169"/>
      <c r="AA169"/>
      <c r="AB169"/>
      <c r="AC169"/>
      <c r="AD169"/>
      <c r="AE169"/>
      <c r="AF169"/>
      <c r="AG169"/>
      <c r="AH169"/>
    </row>
    <row r="170" spans="1:34" x14ac:dyDescent="0.2">
      <c r="M170"/>
      <c r="N170"/>
      <c r="O170"/>
      <c r="P170"/>
      <c r="Q170"/>
      <c r="R170"/>
      <c r="S170"/>
      <c r="T170"/>
      <c r="U170"/>
      <c r="V170"/>
      <c r="W170"/>
      <c r="X170"/>
      <c r="Y170"/>
      <c r="Z170"/>
      <c r="AA170"/>
      <c r="AB170"/>
      <c r="AC170"/>
      <c r="AD170"/>
      <c r="AE170"/>
      <c r="AF170"/>
      <c r="AG170"/>
      <c r="AH170"/>
    </row>
  </sheetData>
  <mergeCells count="97">
    <mergeCell ref="N12:T12"/>
    <mergeCell ref="U12:AA12"/>
    <mergeCell ref="AB12:AH12"/>
    <mergeCell ref="AJ62:AQ62"/>
    <mergeCell ref="G2:M2"/>
    <mergeCell ref="N2:T2"/>
    <mergeCell ref="U2:AA2"/>
    <mergeCell ref="G62:M62"/>
    <mergeCell ref="N62:T62"/>
    <mergeCell ref="U22:AA22"/>
    <mergeCell ref="N42:T42"/>
    <mergeCell ref="U42:AA42"/>
    <mergeCell ref="AJ2:AQ2"/>
    <mergeCell ref="AJ12:AQ12"/>
    <mergeCell ref="AJ22:AQ22"/>
    <mergeCell ref="AJ32:AQ32"/>
    <mergeCell ref="A62:E63"/>
    <mergeCell ref="U62:AA62"/>
    <mergeCell ref="AB2:AH2"/>
    <mergeCell ref="AB62:AH62"/>
    <mergeCell ref="A2:E3"/>
    <mergeCell ref="A22:E23"/>
    <mergeCell ref="G22:M22"/>
    <mergeCell ref="N22:T22"/>
    <mergeCell ref="A32:E33"/>
    <mergeCell ref="G32:M32"/>
    <mergeCell ref="N32:T32"/>
    <mergeCell ref="AB22:AH22"/>
    <mergeCell ref="AB32:AH32"/>
    <mergeCell ref="AB42:AH42"/>
    <mergeCell ref="A12:E13"/>
    <mergeCell ref="G12:M12"/>
    <mergeCell ref="AB52:AH52"/>
    <mergeCell ref="AJ52:AQ52"/>
    <mergeCell ref="U32:AA32"/>
    <mergeCell ref="A52:E53"/>
    <mergeCell ref="G52:M52"/>
    <mergeCell ref="A42:E43"/>
    <mergeCell ref="G42:M42"/>
    <mergeCell ref="AJ42:AQ42"/>
    <mergeCell ref="N52:T52"/>
    <mergeCell ref="U52:AA52"/>
    <mergeCell ref="AB152:AH152"/>
    <mergeCell ref="AJ152:AQ152"/>
    <mergeCell ref="A142:E143"/>
    <mergeCell ref="G142:M142"/>
    <mergeCell ref="A152:E153"/>
    <mergeCell ref="G152:M152"/>
    <mergeCell ref="N152:T152"/>
    <mergeCell ref="U152:AA152"/>
    <mergeCell ref="AB72:AH72"/>
    <mergeCell ref="AJ72:AQ72"/>
    <mergeCell ref="A72:E73"/>
    <mergeCell ref="G72:M72"/>
    <mergeCell ref="N72:T72"/>
    <mergeCell ref="U72:AA72"/>
    <mergeCell ref="AB122:AH122"/>
    <mergeCell ref="AJ122:AQ122"/>
    <mergeCell ref="AB132:AH132"/>
    <mergeCell ref="AJ132:AQ132"/>
    <mergeCell ref="AB142:AH142"/>
    <mergeCell ref="AJ142:AQ142"/>
    <mergeCell ref="AB112:AH112"/>
    <mergeCell ref="AJ112:AQ112"/>
    <mergeCell ref="A102:E103"/>
    <mergeCell ref="G102:M102"/>
    <mergeCell ref="A112:E113"/>
    <mergeCell ref="G112:M112"/>
    <mergeCell ref="N112:T112"/>
    <mergeCell ref="U112:AA112"/>
    <mergeCell ref="N102:T102"/>
    <mergeCell ref="U102:AA102"/>
    <mergeCell ref="AB82:AH82"/>
    <mergeCell ref="AJ82:AQ82"/>
    <mergeCell ref="AB92:AH92"/>
    <mergeCell ref="AJ92:AQ92"/>
    <mergeCell ref="AB102:AH102"/>
    <mergeCell ref="AJ102:AQ102"/>
    <mergeCell ref="A82:E83"/>
    <mergeCell ref="G82:M82"/>
    <mergeCell ref="N82:T82"/>
    <mergeCell ref="U82:AA82"/>
    <mergeCell ref="A132:E133"/>
    <mergeCell ref="G132:M132"/>
    <mergeCell ref="N132:T132"/>
    <mergeCell ref="U132:AA132"/>
    <mergeCell ref="A122:E123"/>
    <mergeCell ref="G122:M122"/>
    <mergeCell ref="N122:T122"/>
    <mergeCell ref="U122:AA122"/>
    <mergeCell ref="A162:E163"/>
    <mergeCell ref="A92:E93"/>
    <mergeCell ref="G92:M92"/>
    <mergeCell ref="N92:T92"/>
    <mergeCell ref="U92:AA92"/>
    <mergeCell ref="N142:T142"/>
    <mergeCell ref="U142:AA142"/>
  </mergeCells>
  <pageMargins left="0.78740157499999996" right="0.78740157499999996" top="0.984251969" bottom="0.984251969" header="0.5" footer="0.5"/>
  <pageSetup paperSize="9" orientation="portrait" horizontalDpi="4294967292"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218"/>
  <sheetViews>
    <sheetView view="pageBreakPreview" zoomScaleNormal="100" zoomScaleSheetLayoutView="100" workbookViewId="0">
      <selection activeCell="H32" sqref="H32:H33"/>
    </sheetView>
  </sheetViews>
  <sheetFormatPr defaultRowHeight="12.75" x14ac:dyDescent="0.2"/>
  <cols>
    <col min="1" max="1" width="38.85546875" customWidth="1"/>
    <col min="2" max="5" width="8.140625" style="228" customWidth="1"/>
    <col min="6" max="7" width="6.85546875" style="260" customWidth="1"/>
    <col min="8" max="8" width="6.5703125" style="260" customWidth="1"/>
    <col min="9" max="9" width="13" customWidth="1"/>
  </cols>
  <sheetData>
    <row r="1" spans="1:9" ht="30.75" customHeight="1" thickBot="1" x14ac:dyDescent="0.25">
      <c r="A1" s="394" t="s">
        <v>682</v>
      </c>
      <c r="B1" s="394"/>
      <c r="C1" s="394"/>
      <c r="D1" s="394"/>
      <c r="E1" s="394"/>
      <c r="F1" s="394"/>
      <c r="G1" s="394"/>
      <c r="H1" s="394"/>
    </row>
    <row r="2" spans="1:9" ht="99.6" customHeight="1" thickTop="1" x14ac:dyDescent="0.2">
      <c r="A2" s="395" t="str">
        <f>CONCATENATE(A1,"                           ",'1-los'!D2)</f>
        <v>BTM Tišnov 5.9.2021                           skupina A1</v>
      </c>
      <c r="B2" s="243" t="str">
        <f>LEFT(A4,SEARCH(" ",A4))</f>
        <v xml:space="preserve">GRABOVSKÝ </v>
      </c>
      <c r="C2" s="244" t="str">
        <f>LEFT(A6,SEARCH(" ",A6))</f>
        <v xml:space="preserve">ŠTĚPÁNEK </v>
      </c>
      <c r="D2" s="244" t="str">
        <f>LEFT(A8,SEARCH(" ",A8))</f>
        <v xml:space="preserve">KURDIOVSKÝ </v>
      </c>
      <c r="E2" s="245"/>
      <c r="F2" s="254" t="s">
        <v>299</v>
      </c>
      <c r="G2" s="255" t="s">
        <v>300</v>
      </c>
      <c r="H2" s="256" t="s">
        <v>517</v>
      </c>
    </row>
    <row r="3" spans="1:9" ht="9.9499999999999993" customHeight="1" thickBot="1" x14ac:dyDescent="0.25">
      <c r="A3" s="396"/>
      <c r="B3" s="230"/>
      <c r="C3" s="231"/>
      <c r="D3" s="231"/>
      <c r="E3" s="232"/>
      <c r="F3" s="257"/>
      <c r="G3" s="258"/>
      <c r="H3" s="259"/>
    </row>
    <row r="4" spans="1:9" ht="15" customHeight="1" thickTop="1" x14ac:dyDescent="0.2">
      <c r="A4" s="392" t="str">
        <f>'1-los'!E3</f>
        <v>GRABOVSKÝ Jaroslav (SKST Hodonín)</v>
      </c>
      <c r="B4" s="397"/>
      <c r="C4" s="233" t="str">
        <f>CONCATENATE('1-zapasy'!I8," : ",'1-zapasy'!J8)</f>
        <v>3 : 0</v>
      </c>
      <c r="D4" s="233" t="str">
        <f>CONCATENATE('1-zapasy'!J6," : ",'1-zapasy'!I6)</f>
        <v>3 : 0</v>
      </c>
      <c r="E4" s="234" t="str">
        <f>CONCATENATE('1-zapasy'!I3," : ",'1-zapasy'!J3)</f>
        <v xml:space="preserve"> : </v>
      </c>
      <c r="F4" s="399">
        <f>IF('1-zapasy'!I3&gt;'1-zapasy'!J3,2,IF('1-zapasy'!I3&lt;'1-zapasy'!J3,1,0))+IF('1-zapasy'!J6&gt;'1-zapasy'!I6,2,IF('1-zapasy'!J6&lt;'1-zapasy'!I6,1,0))+IF('1-zapasy'!I8&gt;'1-zapasy'!J8,2,IF('1-zapasy'!I8&lt;'1-zapasy'!J8,1,0))</f>
        <v>4</v>
      </c>
      <c r="G4" s="401" t="str">
        <f>CONCATENATE(SUM('1-zapasy'!I3,'1-zapasy'!J6,'1-zapasy'!I8)," : ",SUM('1-zapasy'!J3,'1-zapasy'!I6,'1-zapasy'!J8))</f>
        <v>6 : 0</v>
      </c>
      <c r="H4" s="403" t="s">
        <v>1</v>
      </c>
      <c r="I4" s="324" t="s">
        <v>582</v>
      </c>
    </row>
    <row r="5" spans="1:9" ht="15" customHeight="1" x14ac:dyDescent="0.2">
      <c r="A5" s="393"/>
      <c r="B5" s="398"/>
      <c r="C5" s="235" t="str">
        <f>CONCATENATE('1-zapasy'!D8,",",'1-zapasy'!E8,",",'1-zapasy'!F8,",",'1-zapasy'!G8,",",'1-zapasy'!H8)</f>
        <v>4,3,5,,</v>
      </c>
      <c r="D5" s="235"/>
      <c r="E5" s="236" t="str">
        <f>CONCATENATE('1-zapasy'!D3,",",'1-zapasy'!E3,",",'1-zapasy'!F3,",",'1-zapasy'!G3,",",'1-zapasy'!H3)</f>
        <v>,,,,</v>
      </c>
      <c r="F5" s="400"/>
      <c r="G5" s="402"/>
      <c r="H5" s="404"/>
      <c r="I5" s="324" t="s">
        <v>583</v>
      </c>
    </row>
    <row r="6" spans="1:9" ht="15" customHeight="1" x14ac:dyDescent="0.2">
      <c r="A6" s="393" t="str">
        <f>'1-los'!E4</f>
        <v>ŠTĚPÁNEK Ondřej (KST Blansko)</v>
      </c>
      <c r="B6" s="237" t="str">
        <f>CONCATENATE('1-zapasy'!J8," : ",'1-zapasy'!I8)</f>
        <v>0 : 3</v>
      </c>
      <c r="C6" s="405"/>
      <c r="D6" s="238" t="str">
        <f>CONCATENATE('1-zapasy'!I4," : ",'1-zapasy'!J4)</f>
        <v>3 : 1</v>
      </c>
      <c r="E6" s="239" t="str">
        <f>CONCATENATE('1-zapasy'!J5," : ",'1-zapasy'!I5)</f>
        <v xml:space="preserve"> : </v>
      </c>
      <c r="F6" s="407">
        <f>IF('1-zapasy'!I4&gt;'1-zapasy'!J4,2,IF('1-zapasy'!I4&lt;'1-zapasy'!J4,1,0))+IF('1-zapasy'!J5&gt;'1-zapasy'!I5,2,IF('1-zapasy'!J5&lt;'1-zapasy'!I5,1,0))+IF('1-zapasy'!J8&gt;'1-zapasy'!I8,2,IF('1-zapasy'!J8&lt;'1-zapasy'!I8,1,0))</f>
        <v>3</v>
      </c>
      <c r="G6" s="408" t="str">
        <f>CONCATENATE(SUM('1-zapasy'!I4,'1-zapasy'!J5,'1-zapasy'!J8)," : ",SUM('1-zapasy'!J4,'1-zapasy'!I5,'1-zapasy'!I8))</f>
        <v>3 : 4</v>
      </c>
      <c r="H6" s="409" t="s">
        <v>3</v>
      </c>
      <c r="I6" s="324" t="s">
        <v>584</v>
      </c>
    </row>
    <row r="7" spans="1:9" s="229" customFormat="1" ht="15" customHeight="1" x14ac:dyDescent="0.2">
      <c r="A7" s="393"/>
      <c r="B7" s="240"/>
      <c r="C7" s="406"/>
      <c r="D7" s="235" t="str">
        <f>CONCATENATE('1-zapasy'!D4,",",'1-zapasy'!E4,",",'1-zapasy'!F4,",",'1-zapasy'!G4,",",'1-zapasy'!H4)</f>
        <v>6,-12,10,5,</v>
      </c>
      <c r="E7" s="236"/>
      <c r="F7" s="400"/>
      <c r="G7" s="402"/>
      <c r="H7" s="404"/>
      <c r="I7" s="324" t="s">
        <v>585</v>
      </c>
    </row>
    <row r="8" spans="1:9" ht="15" customHeight="1" x14ac:dyDescent="0.2">
      <c r="A8" s="393" t="str">
        <f>'1-los'!E5</f>
        <v>KURDIOVSKÝ Matěj (TTC Koral Tišnov)</v>
      </c>
      <c r="B8" s="237" t="str">
        <f>CONCATENATE('1-zapasy'!I6," : ",'1-zapasy'!J6)</f>
        <v>0 : 3</v>
      </c>
      <c r="C8" s="238" t="str">
        <f>CONCATENATE('1-zapasy'!J4," : ",'1-zapasy'!I4)</f>
        <v>1 : 3</v>
      </c>
      <c r="D8" s="405"/>
      <c r="E8" s="239" t="str">
        <f>CONCATENATE('1-zapasy'!I7," : ",'1-zapasy'!J7)</f>
        <v xml:space="preserve"> : </v>
      </c>
      <c r="F8" s="407">
        <f>IF('1-zapasy'!J4&gt;'1-zapasy'!I4,2,IF('1-zapasy'!J4&lt;'1-zapasy'!I4,1,0))+IF('1-zapasy'!I6&gt;'1-zapasy'!J6,2,IF('1-zapasy'!I6&lt;'1-zapasy'!J6,1,0))+IF('1-zapasy'!I7&gt;'1-zapasy'!J7,2,IF('1-zapasy'!I7&lt;'1-zapasy'!J7,1,0))</f>
        <v>2</v>
      </c>
      <c r="G8" s="408" t="str">
        <f>CONCATENATE(SUM('1-zapasy'!J4,'1-zapasy'!I6,'1-zapasy'!I7)," : ",SUM('1-zapasy'!I4,'1-zapasy'!J6,'1-zapasy'!J7))</f>
        <v>1 : 6</v>
      </c>
      <c r="H8" s="409" t="s">
        <v>5</v>
      </c>
      <c r="I8" s="324" t="s">
        <v>586</v>
      </c>
    </row>
    <row r="9" spans="1:9" ht="15" customHeight="1" x14ac:dyDescent="0.2">
      <c r="A9" s="393"/>
      <c r="B9" s="240" t="str">
        <f>CONCATENATE('1-zapasy'!D6,",",'1-zapasy'!E6,",",'1-zapasy'!F6,",",'1-zapasy'!G6,",",'1-zapasy'!H6)</f>
        <v>-1,-7,-4,,</v>
      </c>
      <c r="C9" s="235"/>
      <c r="D9" s="406"/>
      <c r="E9" s="236" t="str">
        <f>CONCATENATE('1-zapasy'!D7,",",'1-zapasy'!E7,",",'1-zapasy'!F7,",",'1-zapasy'!G7,",",'1-zapasy'!H7)</f>
        <v>,,,,</v>
      </c>
      <c r="F9" s="400"/>
      <c r="G9" s="402"/>
      <c r="H9" s="404"/>
      <c r="I9" s="324" t="s">
        <v>587</v>
      </c>
    </row>
    <row r="10" spans="1:9" ht="15" customHeight="1" x14ac:dyDescent="0.2">
      <c r="A10" s="393" t="str">
        <f>'1-los'!E6</f>
        <v/>
      </c>
      <c r="B10" s="237" t="str">
        <f>CONCATENATE('1-zapasy'!J3," : ",'1-zapasy'!I3)</f>
        <v xml:space="preserve"> : </v>
      </c>
      <c r="C10" s="238" t="str">
        <f>CONCATENATE('1-zapasy'!I5," : ",'1-zapasy'!J5)</f>
        <v xml:space="preserve"> : </v>
      </c>
      <c r="D10" s="238" t="str">
        <f>CONCATENATE('1-zapasy'!J7," : ",'1-zapasy'!I7)</f>
        <v xml:space="preserve"> : </v>
      </c>
      <c r="E10" s="410"/>
      <c r="F10" s="407">
        <f>IF('1-zapasy'!J3&gt;'1-zapasy'!I3,2,IF('1-zapasy'!J3&lt;'1-zapasy'!I3,1,0))+IF('1-zapasy'!I5&gt;'1-zapasy'!J5,2,IF('1-zapasy'!I5&lt;'1-zapasy'!J5,1,0))+IF('1-zapasy'!J7&gt;'1-zapasy'!I7,2,IF('1-zapasy'!J7&lt;'1-zapasy'!I7,1,0))</f>
        <v>0</v>
      </c>
      <c r="G10" s="408" t="str">
        <f>CONCATENATE(SUM('1-zapasy'!J3,'1-zapasy'!I5,'1-zapasy'!J7)," : ",SUM('1-zapasy'!I3,'1-zapasy'!J5,'1-zapasy'!I7))</f>
        <v>0 : 0</v>
      </c>
      <c r="H10" s="409"/>
    </row>
    <row r="11" spans="1:9" ht="15" customHeight="1" thickBot="1" x14ac:dyDescent="0.25">
      <c r="A11" s="415"/>
      <c r="B11" s="241"/>
      <c r="C11" s="242" t="str">
        <f>CONCATENATE('1-zapasy'!D5,",",'1-zapasy'!E5,",",'1-zapasy'!F5,",",'1-zapasy'!G5,",",'1-zapasy'!H5)</f>
        <v>,,,,</v>
      </c>
      <c r="D11" s="242"/>
      <c r="E11" s="416"/>
      <c r="F11" s="417"/>
      <c r="G11" s="418"/>
      <c r="H11" s="419"/>
    </row>
    <row r="12" spans="1:9" ht="13.5" customHeight="1" thickTop="1" thickBot="1" x14ac:dyDescent="0.25"/>
    <row r="13" spans="1:9" ht="99.6" customHeight="1" thickTop="1" x14ac:dyDescent="0.2">
      <c r="A13" s="395" t="str">
        <f>CONCATENATE(A1,"                           ",'1-los'!F2)</f>
        <v>BTM Tišnov 5.9.2021                           skupina A2</v>
      </c>
      <c r="B13" s="243" t="str">
        <f>LEFT(A15,SEARCH(" ",A15))</f>
        <v xml:space="preserve">NOVOHRADSKÁ </v>
      </c>
      <c r="C13" s="244" t="str">
        <f>LEFT(A17,SEARCH(" ",A17))</f>
        <v xml:space="preserve">HOLUBOVÁ </v>
      </c>
      <c r="D13" s="244" t="str">
        <f>LEFT(A19,SEARCH(" ",A19))</f>
        <v xml:space="preserve">HORNÍČEK </v>
      </c>
      <c r="E13" s="245" t="str">
        <f>LEFT(A21,SEARCH(" ",A21))</f>
        <v xml:space="preserve">GRÜNWALD </v>
      </c>
      <c r="F13" s="254" t="s">
        <v>299</v>
      </c>
      <c r="G13" s="255" t="s">
        <v>300</v>
      </c>
      <c r="H13" s="256" t="s">
        <v>517</v>
      </c>
    </row>
    <row r="14" spans="1:9" ht="9.9499999999999993" customHeight="1" thickBot="1" x14ac:dyDescent="0.25">
      <c r="A14" s="396"/>
      <c r="B14" s="230"/>
      <c r="C14" s="231"/>
      <c r="D14" s="231"/>
      <c r="E14" s="232"/>
      <c r="F14" s="257"/>
      <c r="G14" s="258"/>
      <c r="H14" s="259"/>
    </row>
    <row r="15" spans="1:9" ht="15" customHeight="1" thickTop="1" x14ac:dyDescent="0.2">
      <c r="A15" s="392" t="str">
        <f>'1-los'!G3</f>
        <v>NOVOHRADSKÁ Karolína (KST Blansko)</v>
      </c>
      <c r="B15" s="397"/>
      <c r="C15" s="233" t="str">
        <f>CONCATENATE('1-zapasy'!I16," : ",'1-zapasy'!J16)</f>
        <v>3 : 2</v>
      </c>
      <c r="D15" s="233" t="str">
        <f>CONCATENATE('1-zapasy'!J14," : ",'1-zapasy'!I14)</f>
        <v>0 : 3</v>
      </c>
      <c r="E15" s="234" t="str">
        <f>CONCATENATE('1-zapasy'!I11," : ",'1-zapasy'!J11)</f>
        <v>3 : 1</v>
      </c>
      <c r="F15" s="399">
        <f>IF('1-zapasy'!I11&gt;'1-zapasy'!J11,2,IF('1-zapasy'!I11&lt;'1-zapasy'!J11,1,0))+IF('1-zapasy'!J14&gt;'1-zapasy'!I14,2,IF('1-zapasy'!J14&lt;'1-zapasy'!I14,1,0))+IF('1-zapasy'!I16&gt;'1-zapasy'!J16,2,IF('1-zapasy'!I16&lt;'1-zapasy'!J16,1,0))</f>
        <v>5</v>
      </c>
      <c r="G15" s="401" t="str">
        <f>CONCATENATE(SUM('1-zapasy'!I11,'1-zapasy'!J14,'1-zapasy'!I16)," : ",SUM('1-zapasy'!J11,'1-zapasy'!I14,'1-zapasy'!J16))</f>
        <v>6 : 6</v>
      </c>
      <c r="H15" s="403" t="s">
        <v>5</v>
      </c>
      <c r="I15" s="324" t="s">
        <v>582</v>
      </c>
    </row>
    <row r="16" spans="1:9" ht="15" customHeight="1" x14ac:dyDescent="0.2">
      <c r="A16" s="393"/>
      <c r="B16" s="398"/>
      <c r="C16" s="235" t="str">
        <f>CONCATENATE('1-zapasy'!D16,",",'1-zapasy'!E16,",",'1-zapasy'!F16,",",'1-zapasy'!G16,",",'1-zapasy'!H16)</f>
        <v>-10,7,-5,9,8</v>
      </c>
      <c r="D16" s="235"/>
      <c r="E16" s="236" t="str">
        <f>CONCATENATE('1-zapasy'!D11,",",'1-zapasy'!E11,",",'1-zapasy'!F11,",",'1-zapasy'!G11,",",'1-zapasy'!H11)</f>
        <v>7,-9,5,3,</v>
      </c>
      <c r="F16" s="400"/>
      <c r="G16" s="402"/>
      <c r="H16" s="404"/>
      <c r="I16" s="324" t="s">
        <v>583</v>
      </c>
    </row>
    <row r="17" spans="1:9" ht="15" customHeight="1" x14ac:dyDescent="0.2">
      <c r="A17" s="393" t="str">
        <f>'1-los'!G4</f>
        <v>HOLUBOVÁ Simona (SKST Hodonín)</v>
      </c>
      <c r="B17" s="237" t="str">
        <f>CONCATENATE('1-zapasy'!J16," : ",'1-zapasy'!I16)</f>
        <v>2 : 3</v>
      </c>
      <c r="C17" s="405"/>
      <c r="D17" s="238" t="str">
        <f>CONCATENATE('1-zapasy'!I12," : ",'1-zapasy'!J12)</f>
        <v>3 : 0</v>
      </c>
      <c r="E17" s="239" t="str">
        <f>CONCATENATE('1-zapasy'!J13," : ",'1-zapasy'!I13)</f>
        <v>3 : 0</v>
      </c>
      <c r="F17" s="407">
        <f>IF('1-zapasy'!I12&gt;'1-zapasy'!J12,2,IF('1-zapasy'!I12&lt;'1-zapasy'!J12,1,0))+IF('1-zapasy'!J13&gt;'1-zapasy'!I13,2,IF('1-zapasy'!J13&lt;'1-zapasy'!I13,1,0))+IF('1-zapasy'!J16&gt;'1-zapasy'!I16,2,IF('1-zapasy'!J16&lt;'1-zapasy'!I16,1,0))</f>
        <v>5</v>
      </c>
      <c r="G17" s="408" t="str">
        <f>CONCATENATE(SUM('1-zapasy'!I12,'1-zapasy'!J13,'1-zapasy'!J16)," : ",SUM('1-zapasy'!J12,'1-zapasy'!I13,'1-zapasy'!I16))</f>
        <v>8 : 3</v>
      </c>
      <c r="H17" s="409" t="s">
        <v>1</v>
      </c>
      <c r="I17" s="324" t="s">
        <v>584</v>
      </c>
    </row>
    <row r="18" spans="1:9" ht="15" customHeight="1" x14ac:dyDescent="0.2">
      <c r="A18" s="393"/>
      <c r="B18" s="240"/>
      <c r="C18" s="406"/>
      <c r="D18" s="235" t="str">
        <f>CONCATENATE('1-zapasy'!D12,",",'1-zapasy'!E12,",",'1-zapasy'!F12,",",'1-zapasy'!G12,",",'1-zapasy'!H12)</f>
        <v>1,6,6,,</v>
      </c>
      <c r="E18" s="236"/>
      <c r="F18" s="400"/>
      <c r="G18" s="402"/>
      <c r="H18" s="404"/>
      <c r="I18" s="324" t="s">
        <v>585</v>
      </c>
    </row>
    <row r="19" spans="1:9" ht="15" customHeight="1" x14ac:dyDescent="0.2">
      <c r="A19" s="393" t="str">
        <f>'1-los'!G5</f>
        <v>HORNÍČEK Lukáš (TTC MS Brno)</v>
      </c>
      <c r="B19" s="237" t="str">
        <f>CONCATENATE('1-zapasy'!I14," : ",'1-zapasy'!J14)</f>
        <v>3 : 0</v>
      </c>
      <c r="C19" s="238" t="str">
        <f>CONCATENATE('1-zapasy'!J12," : ",'1-zapasy'!I12)</f>
        <v>0 : 3</v>
      </c>
      <c r="D19" s="405"/>
      <c r="E19" s="239" t="str">
        <f>CONCATENATE('1-zapasy'!I15," : ",'1-zapasy'!J15)</f>
        <v>3 : 0</v>
      </c>
      <c r="F19" s="407">
        <f>IF('1-zapasy'!J12&gt;'1-zapasy'!I12,2,IF('1-zapasy'!J12&lt;'1-zapasy'!I12,1,0))+IF('1-zapasy'!I14&gt;'1-zapasy'!J14,2,IF('1-zapasy'!I14&lt;'1-zapasy'!J14,1,0))+IF('1-zapasy'!I15&gt;'1-zapasy'!J15,2,IF('1-zapasy'!I15&lt;'1-zapasy'!J15,1,0))</f>
        <v>5</v>
      </c>
      <c r="G19" s="408" t="str">
        <f>CONCATENATE(SUM('1-zapasy'!J12,'1-zapasy'!I14,'1-zapasy'!I15)," : ",SUM('1-zapasy'!I12,'1-zapasy'!J14,'1-zapasy'!J15))</f>
        <v>6 : 3</v>
      </c>
      <c r="H19" s="409" t="s">
        <v>3</v>
      </c>
      <c r="I19" s="324" t="s">
        <v>586</v>
      </c>
    </row>
    <row r="20" spans="1:9" ht="15" customHeight="1" x14ac:dyDescent="0.2">
      <c r="A20" s="393"/>
      <c r="B20" s="240" t="str">
        <f>CONCATENATE('1-zapasy'!D14,",",'1-zapasy'!E14,",",'1-zapasy'!F14,",",'1-zapasy'!G14,",",'1-zapasy'!H14)</f>
        <v>10,9,10,,</v>
      </c>
      <c r="C20" s="235"/>
      <c r="D20" s="406"/>
      <c r="E20" s="236" t="str">
        <f>CONCATENATE('1-zapasy'!D15,",",'1-zapasy'!E15,",",'1-zapasy'!F15,",",'1-zapasy'!G15,",",'1-zapasy'!H15)</f>
        <v>4,6,8,,</v>
      </c>
      <c r="F20" s="400"/>
      <c r="G20" s="402"/>
      <c r="H20" s="404"/>
      <c r="I20" s="324" t="s">
        <v>587</v>
      </c>
    </row>
    <row r="21" spans="1:9" ht="15" customHeight="1" x14ac:dyDescent="0.2">
      <c r="A21" s="393" t="str">
        <f>'1-los'!G6</f>
        <v>GRÜNWALD Michal (KST Vyškov)</v>
      </c>
      <c r="B21" s="237" t="str">
        <f>CONCATENATE('1-zapasy'!J11," : ",'1-zapasy'!I11)</f>
        <v>1 : 3</v>
      </c>
      <c r="C21" s="238" t="str">
        <f>CONCATENATE('1-zapasy'!I13," : ",'1-zapasy'!J13)</f>
        <v>0 : 3</v>
      </c>
      <c r="D21" s="238" t="str">
        <f>CONCATENATE('1-zapasy'!J15," : ",'1-zapasy'!I15)</f>
        <v>0 : 3</v>
      </c>
      <c r="E21" s="410"/>
      <c r="F21" s="407">
        <f>IF('1-zapasy'!J11&gt;'1-zapasy'!I11,2,IF('1-zapasy'!J11&lt;'1-zapasy'!I11,1,0))+IF('1-zapasy'!I13&gt;'1-zapasy'!J13,2,IF('1-zapasy'!I13&lt;'1-zapasy'!J13,1,0))+IF('1-zapasy'!J15&gt;'1-zapasy'!I15,2,IF('1-zapasy'!J15&lt;'1-zapasy'!I15,1,0))</f>
        <v>3</v>
      </c>
      <c r="G21" s="408" t="str">
        <f>CONCATENATE(SUM('1-zapasy'!J11,'1-zapasy'!I13,'1-zapasy'!J15)," : ",SUM('1-zapasy'!I11,'1-zapasy'!J13,'1-zapasy'!I15))</f>
        <v>1 : 9</v>
      </c>
      <c r="H21" s="409" t="s">
        <v>11</v>
      </c>
    </row>
    <row r="22" spans="1:9" ht="15" customHeight="1" thickBot="1" x14ac:dyDescent="0.25">
      <c r="A22" s="415"/>
      <c r="B22" s="241"/>
      <c r="C22" s="242" t="str">
        <f>CONCATENATE('1-zapasy'!D13,",",'1-zapasy'!E13,",",'1-zapasy'!F13,",",'1-zapasy'!G13,",",'1-zapasy'!H13)</f>
        <v>-9,-8,-5,,</v>
      </c>
      <c r="D22" s="242"/>
      <c r="E22" s="416"/>
      <c r="F22" s="417"/>
      <c r="G22" s="418"/>
      <c r="H22" s="419"/>
    </row>
    <row r="23" spans="1:9" ht="13.5" customHeight="1" thickTop="1" thickBot="1" x14ac:dyDescent="0.25"/>
    <row r="24" spans="1:9" ht="99.6" customHeight="1" thickTop="1" x14ac:dyDescent="0.2">
      <c r="A24" s="395" t="str">
        <f>CONCATENATE(A1,"                           ",'1-los'!D7)</f>
        <v>BTM Tišnov 5.9.2021                           skupina A3</v>
      </c>
      <c r="B24" s="243" t="str">
        <f>LEFT(A26,SEARCH(" ",A26))</f>
        <v xml:space="preserve">MASOPUSTOVÁ </v>
      </c>
      <c r="C24" s="244" t="str">
        <f>LEFT(A28,SEARCH(" ",A28))</f>
        <v xml:space="preserve">KREJČÍ </v>
      </c>
      <c r="D24" s="244" t="str">
        <f>LEFT(A30,SEARCH(" ",A30))</f>
        <v xml:space="preserve">ŠTĚRBÁK </v>
      </c>
      <c r="E24" s="245" t="str">
        <f>LEFT(A32,SEARCH(" ",A32))</f>
        <v xml:space="preserve">VINCENEC </v>
      </c>
      <c r="F24" s="254" t="s">
        <v>299</v>
      </c>
      <c r="G24" s="255" t="s">
        <v>300</v>
      </c>
      <c r="H24" s="256" t="s">
        <v>517</v>
      </c>
    </row>
    <row r="25" spans="1:9" ht="9.9499999999999993" customHeight="1" thickBot="1" x14ac:dyDescent="0.25">
      <c r="A25" s="396"/>
      <c r="B25" s="230"/>
      <c r="C25" s="231"/>
      <c r="D25" s="231"/>
      <c r="E25" s="232"/>
      <c r="F25" s="257"/>
      <c r="G25" s="258"/>
      <c r="H25" s="259"/>
    </row>
    <row r="26" spans="1:9" ht="15" customHeight="1" thickTop="1" x14ac:dyDescent="0.2">
      <c r="A26" s="392" t="str">
        <f>'1-los'!E8</f>
        <v>MASOPUSTOVÁ Lucie (MSK Břeclav)</v>
      </c>
      <c r="B26" s="397"/>
      <c r="C26" s="233" t="str">
        <f>CONCATENATE('1-zapasy'!I24," : ",'1-zapasy'!J24)</f>
        <v>3 : 1</v>
      </c>
      <c r="D26" s="233" t="str">
        <f>CONCATENATE('1-zapasy'!J22," : ",'1-zapasy'!I22)</f>
        <v>3 : 0</v>
      </c>
      <c r="E26" s="234" t="str">
        <f>CONCATENATE('1-zapasy'!I19," : ",'1-zapasy'!J19)</f>
        <v>3 : 2</v>
      </c>
      <c r="F26" s="399">
        <f>IF('1-zapasy'!I19&gt;'1-zapasy'!J19,2,IF('1-zapasy'!I19&lt;'1-zapasy'!J19,1,0))+IF('1-zapasy'!J22&gt;'1-zapasy'!I22,2,IF('1-zapasy'!J22&lt;'1-zapasy'!I22,1,0))+IF('1-zapasy'!I24&gt;'1-zapasy'!J24,2,IF('1-zapasy'!I24&lt;'1-zapasy'!J24,1,0))</f>
        <v>6</v>
      </c>
      <c r="G26" s="401" t="str">
        <f>CONCATENATE(SUM('1-zapasy'!I19,'1-zapasy'!J22,'1-zapasy'!I24)," : ",SUM('1-zapasy'!J19,'1-zapasy'!I22,'1-zapasy'!J24))</f>
        <v>9 : 3</v>
      </c>
      <c r="H26" s="403" t="s">
        <v>1</v>
      </c>
      <c r="I26" s="324" t="s">
        <v>582</v>
      </c>
    </row>
    <row r="27" spans="1:9" ht="15" customHeight="1" x14ac:dyDescent="0.2">
      <c r="A27" s="393"/>
      <c r="B27" s="398"/>
      <c r="C27" s="235" t="str">
        <f>CONCATENATE('1-zapasy'!D24,",",'1-zapasy'!E24,",",'1-zapasy'!F24,",",'1-zapasy'!G24,",",'1-zapasy'!H24)</f>
        <v>-3,8,6,6,</v>
      </c>
      <c r="D27" s="235"/>
      <c r="E27" s="236" t="str">
        <f>CONCATENATE('1-zapasy'!D19,",",'1-zapasy'!E19,",",'1-zapasy'!F19,",",'1-zapasy'!G19,",",'1-zapasy'!H19)</f>
        <v>6,1,-11,-11,8</v>
      </c>
      <c r="F27" s="400"/>
      <c r="G27" s="402"/>
      <c r="H27" s="404"/>
      <c r="I27" s="324" t="s">
        <v>583</v>
      </c>
    </row>
    <row r="28" spans="1:9" ht="15" customHeight="1" x14ac:dyDescent="0.2">
      <c r="A28" s="393" t="str">
        <f>'1-los'!E9</f>
        <v>KREJČÍ David (TTC MS Brno)</v>
      </c>
      <c r="B28" s="237" t="str">
        <f>CONCATENATE('1-zapasy'!J24," : ",'1-zapasy'!I24)</f>
        <v>1 : 3</v>
      </c>
      <c r="C28" s="405"/>
      <c r="D28" s="238" t="str">
        <f>CONCATENATE('1-zapasy'!I20," : ",'1-zapasy'!J20)</f>
        <v>3 : 0</v>
      </c>
      <c r="E28" s="239" t="str">
        <f>CONCATENATE('1-zapasy'!J21," : ",'1-zapasy'!I21)</f>
        <v>2 : 3</v>
      </c>
      <c r="F28" s="407">
        <f>IF('1-zapasy'!I20&gt;'1-zapasy'!J20,2,IF('1-zapasy'!I20&lt;'1-zapasy'!J20,1,0))+IF('1-zapasy'!J21&gt;'1-zapasy'!I21,2,IF('1-zapasy'!J21&lt;'1-zapasy'!I21,1,0))+IF('1-zapasy'!J24&gt;'1-zapasy'!I24,2,IF('1-zapasy'!J24&lt;'1-zapasy'!I24,1,0))</f>
        <v>4</v>
      </c>
      <c r="G28" s="408" t="str">
        <f>CONCATENATE(SUM('1-zapasy'!I20,'1-zapasy'!J21,'1-zapasy'!J24)," : ",SUM('1-zapasy'!J20,'1-zapasy'!I21,'1-zapasy'!I24))</f>
        <v>6 : 6</v>
      </c>
      <c r="H28" s="409" t="s">
        <v>5</v>
      </c>
      <c r="I28" s="324" t="s">
        <v>584</v>
      </c>
    </row>
    <row r="29" spans="1:9" ht="15" customHeight="1" x14ac:dyDescent="0.2">
      <c r="A29" s="393"/>
      <c r="B29" s="240"/>
      <c r="C29" s="406"/>
      <c r="D29" s="235" t="str">
        <f>CONCATENATE('1-zapasy'!D20,",",'1-zapasy'!E20,",",'1-zapasy'!F20,",",'1-zapasy'!G20,",",'1-zapasy'!H20)</f>
        <v>6,7,7,,</v>
      </c>
      <c r="E29" s="236"/>
      <c r="F29" s="400"/>
      <c r="G29" s="402"/>
      <c r="H29" s="404"/>
      <c r="I29" s="324" t="s">
        <v>585</v>
      </c>
    </row>
    <row r="30" spans="1:9" ht="15" customHeight="1" x14ac:dyDescent="0.2">
      <c r="A30" s="393" t="str">
        <f>'1-los'!E10</f>
        <v>ŠTĚRBÁK Lukáš (SKST Hodonín)</v>
      </c>
      <c r="B30" s="237" t="str">
        <f>CONCATENATE('1-zapasy'!I22," : ",'1-zapasy'!J22)</f>
        <v>0 : 3</v>
      </c>
      <c r="C30" s="238" t="str">
        <f>CONCATENATE('1-zapasy'!J20," : ",'1-zapasy'!I20)</f>
        <v>0 : 3</v>
      </c>
      <c r="D30" s="405"/>
      <c r="E30" s="239" t="str">
        <f>CONCATENATE('1-zapasy'!I23," : ",'1-zapasy'!J23)</f>
        <v>0 : 3</v>
      </c>
      <c r="F30" s="407">
        <f>IF('1-zapasy'!J20&gt;'1-zapasy'!I20,2,IF('1-zapasy'!J20&lt;'1-zapasy'!I20,1,0))+IF('1-zapasy'!I22&gt;'1-zapasy'!J22,2,IF('1-zapasy'!I22&lt;'1-zapasy'!J22,1,0))+IF('1-zapasy'!I23&gt;'1-zapasy'!J23,2,IF('1-zapasy'!I23&lt;'1-zapasy'!J23,1,0))</f>
        <v>3</v>
      </c>
      <c r="G30" s="408" t="str">
        <f>CONCATENATE(SUM('1-zapasy'!J20,'1-zapasy'!I22,'1-zapasy'!I23)," : ",SUM('1-zapasy'!I20,'1-zapasy'!J22,'1-zapasy'!J23))</f>
        <v>0 : 9</v>
      </c>
      <c r="H30" s="409" t="s">
        <v>11</v>
      </c>
      <c r="I30" s="324" t="s">
        <v>586</v>
      </c>
    </row>
    <row r="31" spans="1:9" ht="15" customHeight="1" x14ac:dyDescent="0.2">
      <c r="A31" s="393"/>
      <c r="B31" s="240" t="str">
        <f>CONCATENATE('1-zapasy'!D22,",",'1-zapasy'!E22,",",'1-zapasy'!F22,",",'1-zapasy'!G22,",",'1-zapasy'!H22)</f>
        <v>-2,-4,-5,,</v>
      </c>
      <c r="C31" s="235"/>
      <c r="D31" s="406"/>
      <c r="E31" s="236" t="str">
        <f>CONCATENATE('1-zapasy'!D23,",",'1-zapasy'!E23,",",'1-zapasy'!F23,",",'1-zapasy'!G23,",",'1-zapasy'!H23)</f>
        <v>-7,-8,-8,,</v>
      </c>
      <c r="F31" s="400"/>
      <c r="G31" s="402"/>
      <c r="H31" s="404"/>
      <c r="I31" s="324" t="s">
        <v>587</v>
      </c>
    </row>
    <row r="32" spans="1:9" ht="15" customHeight="1" x14ac:dyDescent="0.2">
      <c r="A32" s="393" t="str">
        <f>'1-los'!E11</f>
        <v>VINCENEC Oliver (KST Vyškov)</v>
      </c>
      <c r="B32" s="237" t="str">
        <f>CONCATENATE('1-zapasy'!J19," : ",'1-zapasy'!I19)</f>
        <v>2 : 3</v>
      </c>
      <c r="C32" s="238" t="str">
        <f>CONCATENATE('1-zapasy'!I21," : ",'1-zapasy'!J21)</f>
        <v>3 : 2</v>
      </c>
      <c r="D32" s="238" t="str">
        <f>CONCATENATE('1-zapasy'!J23," : ",'1-zapasy'!I23)</f>
        <v>3 : 0</v>
      </c>
      <c r="E32" s="410"/>
      <c r="F32" s="407">
        <f>IF('1-zapasy'!J19&gt;'1-zapasy'!I19,2,IF('1-zapasy'!J19&lt;'1-zapasy'!I19,1,0))+IF('1-zapasy'!I21&gt;'1-zapasy'!J21,2,IF('1-zapasy'!I21&lt;'1-zapasy'!J21,1,0))+IF('1-zapasy'!J23&gt;'1-zapasy'!I23,2,IF('1-zapasy'!J23&lt;'1-zapasy'!I23,1,0))</f>
        <v>5</v>
      </c>
      <c r="G32" s="408" t="str">
        <f>CONCATENATE(SUM('1-zapasy'!J19,'1-zapasy'!I21,'1-zapasy'!J23)," : ",SUM('1-zapasy'!I19,'1-zapasy'!J21,'1-zapasy'!I23))</f>
        <v>8 : 5</v>
      </c>
      <c r="H32" s="409" t="s">
        <v>3</v>
      </c>
    </row>
    <row r="33" spans="1:9" ht="15" customHeight="1" thickBot="1" x14ac:dyDescent="0.25">
      <c r="A33" s="415"/>
      <c r="B33" s="241"/>
      <c r="C33" s="242" t="str">
        <f>CONCATENATE('1-zapasy'!D21,",",'1-zapasy'!E21,",",'1-zapasy'!F21,",",'1-zapasy'!G21,",",'1-zapasy'!H21)</f>
        <v>-7,5,7,-7,9</v>
      </c>
      <c r="D33" s="242"/>
      <c r="E33" s="416"/>
      <c r="F33" s="417"/>
      <c r="G33" s="418"/>
      <c r="H33" s="419"/>
    </row>
    <row r="34" spans="1:9" ht="14.25" customHeight="1" thickTop="1" thickBot="1" x14ac:dyDescent="0.25"/>
    <row r="35" spans="1:9" ht="99" customHeight="1" thickTop="1" x14ac:dyDescent="0.2">
      <c r="A35" s="395" t="str">
        <f>CONCATENATE(A1,"                           ",'1-los'!F7)</f>
        <v>BTM Tišnov 5.9.2021                           skupina A4</v>
      </c>
      <c r="B35" s="243" t="str">
        <f>LEFT(A37,SEARCH(" ",A37))</f>
        <v xml:space="preserve">SOBOTÍKOVÁ </v>
      </c>
      <c r="C35" s="244" t="str">
        <f>LEFT(A39,SEARCH(" ",A39))</f>
        <v xml:space="preserve">LUSKA </v>
      </c>
      <c r="D35" s="244" t="str">
        <f>LEFT(A41,SEARCH(" ",A41))</f>
        <v xml:space="preserve">KOTÁSKOVÁ </v>
      </c>
      <c r="E35" s="245" t="str">
        <f>LEFT(A43,SEARCH(" ",A43))</f>
        <v xml:space="preserve">BAHENSKÝ </v>
      </c>
      <c r="F35" s="254" t="s">
        <v>299</v>
      </c>
      <c r="G35" s="255" t="s">
        <v>300</v>
      </c>
      <c r="H35" s="256" t="s">
        <v>517</v>
      </c>
    </row>
    <row r="36" spans="1:9" ht="9.9499999999999993" customHeight="1" thickBot="1" x14ac:dyDescent="0.25">
      <c r="A36" s="396"/>
      <c r="B36" s="230"/>
      <c r="C36" s="231"/>
      <c r="D36" s="231"/>
      <c r="E36" s="232"/>
      <c r="F36" s="257"/>
      <c r="G36" s="258"/>
      <c r="H36" s="259"/>
    </row>
    <row r="37" spans="1:9" ht="15" customHeight="1" thickTop="1" x14ac:dyDescent="0.2">
      <c r="A37" s="392" t="str">
        <f>'1-los'!G8</f>
        <v>SOBOTÍKOVÁ Monika (TTC MS Brno)</v>
      </c>
      <c r="B37" s="397"/>
      <c r="C37" s="233" t="str">
        <f>CONCATENATE('1-zapasy'!I32," : ",'1-zapasy'!J32)</f>
        <v>1 : 3</v>
      </c>
      <c r="D37" s="233" t="str">
        <f>CONCATENATE('1-zapasy'!J30," : ",'1-zapasy'!I30)</f>
        <v>3 : 0</v>
      </c>
      <c r="E37" s="234" t="str">
        <f>CONCATENATE('1-zapasy'!I27," : ",'1-zapasy'!J27)</f>
        <v>3 : 0</v>
      </c>
      <c r="F37" s="399">
        <f>IF('1-zapasy'!I27&gt;'1-zapasy'!J27,2,IF('1-zapasy'!I27&lt;'1-zapasy'!J27,1,0))+IF('1-zapasy'!J30&gt;'1-zapasy'!I30,2,IF('1-zapasy'!J30&lt;'1-zapasy'!I30,1,0))+IF('1-zapasy'!I32&gt;'1-zapasy'!J32,2,IF('1-zapasy'!I32&lt;'1-zapasy'!J32,1,0))</f>
        <v>5</v>
      </c>
      <c r="G37" s="401" t="str">
        <f>CONCATENATE(SUM('1-zapasy'!I27,'1-zapasy'!J30,'1-zapasy'!I32)," : ",SUM('1-zapasy'!J27,'1-zapasy'!I30,'1-zapasy'!J32))</f>
        <v>7 : 3</v>
      </c>
      <c r="H37" s="403" t="s">
        <v>3</v>
      </c>
      <c r="I37" s="324" t="s">
        <v>582</v>
      </c>
    </row>
    <row r="38" spans="1:9" ht="15" customHeight="1" x14ac:dyDescent="0.2">
      <c r="A38" s="393"/>
      <c r="B38" s="398"/>
      <c r="C38" s="235" t="str">
        <f>CONCATENATE('1-zapasy'!D32,",",'1-zapasy'!E32,",",'1-zapasy'!F32,",",'1-zapasy'!G32,",",'1-zapasy'!H32)</f>
        <v>-7,-9,7,-8,</v>
      </c>
      <c r="D38" s="235"/>
      <c r="E38" s="236" t="str">
        <f>CONCATENATE('1-zapasy'!D27,",",'1-zapasy'!E27,",",'1-zapasy'!F27,",",'1-zapasy'!G27,",",'1-zapasy'!H27)</f>
        <v>6,7,9,,</v>
      </c>
      <c r="F38" s="400"/>
      <c r="G38" s="402"/>
      <c r="H38" s="404"/>
      <c r="I38" s="324" t="s">
        <v>583</v>
      </c>
    </row>
    <row r="39" spans="1:9" ht="15" customHeight="1" x14ac:dyDescent="0.2">
      <c r="A39" s="393" t="str">
        <f>'1-los'!G9</f>
        <v>LUSKA Petr (KST Vyškov)</v>
      </c>
      <c r="B39" s="237" t="str">
        <f>CONCATENATE('1-zapasy'!J32," : ",'1-zapasy'!I32)</f>
        <v>3 : 1</v>
      </c>
      <c r="C39" s="405"/>
      <c r="D39" s="238" t="str">
        <f>CONCATENATE('1-zapasy'!I28," : ",'1-zapasy'!J28)</f>
        <v>3 : 1</v>
      </c>
      <c r="E39" s="239" t="str">
        <f>CONCATENATE('1-zapasy'!J29," : ",'1-zapasy'!I29)</f>
        <v>3 : 2</v>
      </c>
      <c r="F39" s="407">
        <f>IF('1-zapasy'!I28&gt;'1-zapasy'!J28,2,IF('1-zapasy'!I28&lt;'1-zapasy'!J28,1,0))+IF('1-zapasy'!J29&gt;'1-zapasy'!I29,2,IF('1-zapasy'!J29&lt;'1-zapasy'!I29,1,0))+IF('1-zapasy'!J32&gt;'1-zapasy'!I32,2,IF('1-zapasy'!J32&lt;'1-zapasy'!I32,1,0))</f>
        <v>6</v>
      </c>
      <c r="G39" s="408" t="str">
        <f>CONCATENATE(SUM('1-zapasy'!I28,'1-zapasy'!J29,'1-zapasy'!J32)," : ",SUM('1-zapasy'!J28,'1-zapasy'!I29,'1-zapasy'!I32))</f>
        <v>9 : 4</v>
      </c>
      <c r="H39" s="409" t="s">
        <v>1</v>
      </c>
      <c r="I39" s="324" t="s">
        <v>584</v>
      </c>
    </row>
    <row r="40" spans="1:9" ht="15" customHeight="1" x14ac:dyDescent="0.2">
      <c r="A40" s="393"/>
      <c r="B40" s="240"/>
      <c r="C40" s="406"/>
      <c r="D40" s="235" t="str">
        <f>CONCATENATE('1-zapasy'!D28,",",'1-zapasy'!E28,",",'1-zapasy'!F28,",",'1-zapasy'!G28,",",'1-zapasy'!H28)</f>
        <v>-4,11,6,10,</v>
      </c>
      <c r="E40" s="236"/>
      <c r="F40" s="400"/>
      <c r="G40" s="402"/>
      <c r="H40" s="404"/>
      <c r="I40" s="324" t="s">
        <v>585</v>
      </c>
    </row>
    <row r="41" spans="1:9" ht="15" customHeight="1" x14ac:dyDescent="0.2">
      <c r="A41" s="393" t="str">
        <f>'1-los'!G10</f>
        <v>KOTÁSKOVÁ Kristýna (SKST Hodonín)</v>
      </c>
      <c r="B41" s="237" t="str">
        <f>CONCATENATE('1-zapasy'!I30," : ",'1-zapasy'!J30)</f>
        <v>0 : 3</v>
      </c>
      <c r="C41" s="238" t="str">
        <f>CONCATENATE('1-zapasy'!J28," : ",'1-zapasy'!I28)</f>
        <v>1 : 3</v>
      </c>
      <c r="D41" s="405"/>
      <c r="E41" s="239" t="str">
        <f>CONCATENATE('1-zapasy'!I31," : ",'1-zapasy'!J31)</f>
        <v>0 : 3</v>
      </c>
      <c r="F41" s="407">
        <f>IF('1-zapasy'!J28&gt;'1-zapasy'!I28,2,IF('1-zapasy'!J28&lt;'1-zapasy'!I28,1,0))+IF('1-zapasy'!I30&gt;'1-zapasy'!J30,2,IF('1-zapasy'!I30&lt;'1-zapasy'!J30,1,0))+IF('1-zapasy'!I31&gt;'1-zapasy'!J31,2,IF('1-zapasy'!I31&lt;'1-zapasy'!J31,1,0))</f>
        <v>3</v>
      </c>
      <c r="G41" s="408" t="str">
        <f>CONCATENATE(SUM('1-zapasy'!J28,'1-zapasy'!I30,'1-zapasy'!I31)," : ",SUM('1-zapasy'!I28,'1-zapasy'!J30,'1-zapasy'!J31))</f>
        <v>1 : 9</v>
      </c>
      <c r="H41" s="409" t="s">
        <v>11</v>
      </c>
      <c r="I41" s="324" t="s">
        <v>586</v>
      </c>
    </row>
    <row r="42" spans="1:9" ht="15" customHeight="1" x14ac:dyDescent="0.2">
      <c r="A42" s="393"/>
      <c r="B42" s="240" t="str">
        <f>CONCATENATE('1-zapasy'!D30,",",'1-zapasy'!E30,",",'1-zapasy'!F30,",",'1-zapasy'!G30,",",'1-zapasy'!H30)</f>
        <v>-9,-11,-10,,</v>
      </c>
      <c r="C42" s="235"/>
      <c r="D42" s="406"/>
      <c r="E42" s="236" t="str">
        <f>CONCATENATE('1-zapasy'!D31,",",'1-zapasy'!E31,",",'1-zapasy'!F31,",",'1-zapasy'!G31,",",'1-zapasy'!H31)</f>
        <v>-8,-12,-8,,</v>
      </c>
      <c r="F42" s="400"/>
      <c r="G42" s="402"/>
      <c r="H42" s="404"/>
      <c r="I42" s="324" t="s">
        <v>587</v>
      </c>
    </row>
    <row r="43" spans="1:9" ht="15" customHeight="1" x14ac:dyDescent="0.2">
      <c r="A43" s="393" t="str">
        <f>'1-los'!G11</f>
        <v>BAHENSKÝ Tomáš (TTC Koral Tišnov)</v>
      </c>
      <c r="B43" s="237" t="str">
        <f>CONCATENATE('1-zapasy'!J27," : ",'1-zapasy'!I27)</f>
        <v>0 : 3</v>
      </c>
      <c r="C43" s="238" t="str">
        <f>CONCATENATE('1-zapasy'!I29," : ",'1-zapasy'!J29)</f>
        <v>2 : 3</v>
      </c>
      <c r="D43" s="238" t="str">
        <f>CONCATENATE('1-zapasy'!J31," : ",'1-zapasy'!I31)</f>
        <v>3 : 0</v>
      </c>
      <c r="E43" s="410"/>
      <c r="F43" s="407">
        <f>IF('1-zapasy'!J27&gt;'1-zapasy'!I27,2,IF('1-zapasy'!J27&lt;'1-zapasy'!I27,1,0))+IF('1-zapasy'!I29&gt;'1-zapasy'!J29,2,IF('1-zapasy'!I29&lt;'1-zapasy'!J29,1,0))+IF('1-zapasy'!J31&gt;'1-zapasy'!I31,2,IF('1-zapasy'!J31&lt;'1-zapasy'!I31,1,0))</f>
        <v>4</v>
      </c>
      <c r="G43" s="408" t="str">
        <f>CONCATENATE(SUM('1-zapasy'!J27,'1-zapasy'!I29,'1-zapasy'!J31)," : ",SUM('1-zapasy'!I27,'1-zapasy'!J29,'1-zapasy'!I31))</f>
        <v>5 : 6</v>
      </c>
      <c r="H43" s="409" t="s">
        <v>5</v>
      </c>
    </row>
    <row r="44" spans="1:9" ht="15" customHeight="1" thickBot="1" x14ac:dyDescent="0.25">
      <c r="A44" s="415"/>
      <c r="B44" s="241"/>
      <c r="C44" s="242" t="str">
        <f>CONCATENATE('1-zapasy'!D29,",",'1-zapasy'!E29,",",'1-zapasy'!F29,",",'1-zapasy'!G29,",",'1-zapasy'!H29)</f>
        <v>10,11,-2,-5,-5</v>
      </c>
      <c r="D44" s="242"/>
      <c r="E44" s="416"/>
      <c r="F44" s="417"/>
      <c r="G44" s="418"/>
      <c r="H44" s="419"/>
    </row>
    <row r="45" spans="1:9" ht="99.6" customHeight="1" thickTop="1" x14ac:dyDescent="0.2">
      <c r="A45" s="395" t="str">
        <f>CONCATENATE(A1,"                           ",'1-los'!D12)</f>
        <v>BTM Tišnov 5.9.2021                           skupina A5</v>
      </c>
      <c r="B45" s="243" t="str">
        <f>LEFT(A47,SEARCH(" ",A47))</f>
        <v xml:space="preserve">KRIŠTOF </v>
      </c>
      <c r="C45" s="244" t="str">
        <f>LEFT(A49,SEARCH(" ",A49))</f>
        <v xml:space="preserve">CHALÚPEK </v>
      </c>
      <c r="D45" s="244" t="str">
        <f>LEFT(A51,SEARCH(" ",A51))</f>
        <v xml:space="preserve">SVOBODA </v>
      </c>
      <c r="E45" s="245" t="str">
        <f>LEFT(A53,SEARCH(" ",A53))</f>
        <v xml:space="preserve">HABÁŇOVÁ </v>
      </c>
      <c r="F45" s="254" t="s">
        <v>299</v>
      </c>
      <c r="G45" s="255" t="s">
        <v>300</v>
      </c>
      <c r="H45" s="256" t="s">
        <v>517</v>
      </c>
    </row>
    <row r="46" spans="1:9" ht="9.9499999999999993" customHeight="1" thickBot="1" x14ac:dyDescent="0.25">
      <c r="A46" s="396"/>
      <c r="B46" s="230"/>
      <c r="C46" s="231"/>
      <c r="D46" s="231"/>
      <c r="E46" s="232"/>
      <c r="F46" s="257"/>
      <c r="G46" s="258"/>
      <c r="H46" s="259"/>
    </row>
    <row r="47" spans="1:9" ht="15" customHeight="1" thickTop="1" x14ac:dyDescent="0.2">
      <c r="A47" s="392" t="str">
        <f>'1-los'!E13</f>
        <v>KRIŠTOF Lukáš (TTC Koral Tišnov)</v>
      </c>
      <c r="B47" s="397"/>
      <c r="C47" s="233" t="str">
        <f>CONCATENATE('1-zapasy'!I40," : ",'1-zapasy'!J40)</f>
        <v>3 : 1</v>
      </c>
      <c r="D47" s="233" t="str">
        <f>CONCATENATE('1-zapasy'!J38," : ",'1-zapasy'!I38)</f>
        <v>3 : 0</v>
      </c>
      <c r="E47" s="234" t="str">
        <f>CONCATENATE('1-zapasy'!I35," : ",'1-zapasy'!J35)</f>
        <v>3 : 0</v>
      </c>
      <c r="F47" s="399">
        <f>IF('1-zapasy'!I35&gt;'1-zapasy'!J35,2,IF('1-zapasy'!I35&lt;'1-zapasy'!J35,1,0))+IF('1-zapasy'!J38&gt;'1-zapasy'!I38,2,IF('1-zapasy'!J38&lt;'1-zapasy'!I38,1,0))+IF('1-zapasy'!I40&gt;'1-zapasy'!J40,2,IF('1-zapasy'!I40&lt;'1-zapasy'!J40,1,0))</f>
        <v>6</v>
      </c>
      <c r="G47" s="401" t="str">
        <f>CONCATENATE(SUM('1-zapasy'!I35,'1-zapasy'!J38,'1-zapasy'!I40)," : ",SUM('1-zapasy'!J35,'1-zapasy'!I38,'1-zapasy'!J40))</f>
        <v>9 : 1</v>
      </c>
      <c r="H47" s="403" t="s">
        <v>1</v>
      </c>
      <c r="I47" s="324" t="s">
        <v>582</v>
      </c>
    </row>
    <row r="48" spans="1:9" ht="15" customHeight="1" x14ac:dyDescent="0.2">
      <c r="A48" s="393"/>
      <c r="B48" s="398"/>
      <c r="C48" s="235" t="str">
        <f>CONCATENATE('1-zapasy'!D40,",",'1-zapasy'!E40,",",'1-zapasy'!F40,",",'1-zapasy'!G40,",",'1-zapasy'!H40)</f>
        <v>7,-6,3,8,</v>
      </c>
      <c r="D48" s="235"/>
      <c r="E48" s="236" t="str">
        <f>CONCATENATE('1-zapasy'!D35,",",'1-zapasy'!E35,",",'1-zapasy'!F35,",",'1-zapasy'!G35,",",'1-zapasy'!H35)</f>
        <v>1,1,5,,</v>
      </c>
      <c r="F48" s="400"/>
      <c r="G48" s="402"/>
      <c r="H48" s="404"/>
      <c r="I48" s="324" t="s">
        <v>583</v>
      </c>
    </row>
    <row r="49" spans="1:9" ht="15" customHeight="1" x14ac:dyDescent="0.2">
      <c r="A49" s="393" t="str">
        <f>'1-los'!E14</f>
        <v>CHALÚPEK Filip (TTC MS Brno)</v>
      </c>
      <c r="B49" s="237" t="str">
        <f>CONCATENATE('1-zapasy'!J40," : ",'1-zapasy'!I40)</f>
        <v>1 : 3</v>
      </c>
      <c r="C49" s="405"/>
      <c r="D49" s="238" t="str">
        <f>CONCATENATE('1-zapasy'!I36," : ",'1-zapasy'!J36)</f>
        <v>3 : 0</v>
      </c>
      <c r="E49" s="239" t="str">
        <f>CONCATENATE('1-zapasy'!J37," : ",'1-zapasy'!I37)</f>
        <v>3 : 0</v>
      </c>
      <c r="F49" s="407">
        <f>IF('1-zapasy'!I36&gt;'1-zapasy'!J36,2,IF('1-zapasy'!I36&lt;'1-zapasy'!J36,1,0))+IF('1-zapasy'!J37&gt;'1-zapasy'!I37,2,IF('1-zapasy'!J37&lt;'1-zapasy'!I37,1,0))+IF('1-zapasy'!J40&gt;'1-zapasy'!I40,2,IF('1-zapasy'!J40&lt;'1-zapasy'!I40,1,0))</f>
        <v>5</v>
      </c>
      <c r="G49" s="408" t="str">
        <f>CONCATENATE(SUM('1-zapasy'!I36,'1-zapasy'!J37,'1-zapasy'!J40)," : ",SUM('1-zapasy'!J36,'1-zapasy'!I37,'1-zapasy'!I40))</f>
        <v>7 : 3</v>
      </c>
      <c r="H49" s="409" t="s">
        <v>3</v>
      </c>
      <c r="I49" s="324" t="s">
        <v>584</v>
      </c>
    </row>
    <row r="50" spans="1:9" ht="15" customHeight="1" x14ac:dyDescent="0.2">
      <c r="A50" s="393"/>
      <c r="B50" s="240"/>
      <c r="C50" s="406"/>
      <c r="D50" s="235" t="str">
        <f>CONCATENATE('1-zapasy'!D36,",",'1-zapasy'!E36,",",'1-zapasy'!F36,",",'1-zapasy'!G36,",",'1-zapasy'!H36)</f>
        <v>2,6,10,,</v>
      </c>
      <c r="E50" s="236"/>
      <c r="F50" s="400"/>
      <c r="G50" s="402"/>
      <c r="H50" s="404"/>
      <c r="I50" s="324" t="s">
        <v>585</v>
      </c>
    </row>
    <row r="51" spans="1:9" ht="15" customHeight="1" x14ac:dyDescent="0.2">
      <c r="A51" s="393" t="str">
        <f>'1-los'!E15</f>
        <v>SVOBODA Ondřej (KST Vyškov)</v>
      </c>
      <c r="B51" s="237" t="str">
        <f>CONCATENATE('1-zapasy'!I38," : ",'1-zapasy'!J38)</f>
        <v>0 : 3</v>
      </c>
      <c r="C51" s="238" t="str">
        <f>CONCATENATE('1-zapasy'!J36," : ",'1-zapasy'!I36)</f>
        <v>0 : 3</v>
      </c>
      <c r="D51" s="405"/>
      <c r="E51" s="239" t="str">
        <f>CONCATENATE('1-zapasy'!I39," : ",'1-zapasy'!J39)</f>
        <v>3 : 0</v>
      </c>
      <c r="F51" s="407">
        <f>IF('1-zapasy'!J36&gt;'1-zapasy'!I36,2,IF('1-zapasy'!J36&lt;'1-zapasy'!I36,1,0))+IF('1-zapasy'!I38&gt;'1-zapasy'!J38,2,IF('1-zapasy'!I38&lt;'1-zapasy'!J38,1,0))+IF('1-zapasy'!I39&gt;'1-zapasy'!J39,2,IF('1-zapasy'!I39&lt;'1-zapasy'!J39,1,0))</f>
        <v>4</v>
      </c>
      <c r="G51" s="408" t="str">
        <f>CONCATENATE(SUM('1-zapasy'!J36,'1-zapasy'!I38,'1-zapasy'!I39)," : ",SUM('1-zapasy'!I36,'1-zapasy'!J38,'1-zapasy'!J39))</f>
        <v>3 : 6</v>
      </c>
      <c r="H51" s="409" t="s">
        <v>5</v>
      </c>
      <c r="I51" s="324" t="s">
        <v>586</v>
      </c>
    </row>
    <row r="52" spans="1:9" ht="15" customHeight="1" x14ac:dyDescent="0.2">
      <c r="A52" s="393"/>
      <c r="B52" s="240" t="str">
        <f>CONCATENATE('1-zapasy'!D38,",",'1-zapasy'!E38,",",'1-zapasy'!F38,",",'1-zapasy'!G38,",",'1-zapasy'!H38)</f>
        <v>-7,-2,-3,,</v>
      </c>
      <c r="C52" s="235"/>
      <c r="D52" s="406"/>
      <c r="E52" s="236" t="str">
        <f>CONCATENATE('1-zapasy'!D39,",",'1-zapasy'!E39,",",'1-zapasy'!F39,",",'1-zapasy'!G39,",",'1-zapasy'!H39)</f>
        <v>5,8,6,,</v>
      </c>
      <c r="F52" s="400"/>
      <c r="G52" s="402"/>
      <c r="H52" s="404"/>
      <c r="I52" s="324" t="s">
        <v>587</v>
      </c>
    </row>
    <row r="53" spans="1:9" ht="15" customHeight="1" x14ac:dyDescent="0.2">
      <c r="A53" s="393" t="str">
        <f>'1-los'!E16</f>
        <v>HABÁŇOVÁ Michaela (KST Blansko)</v>
      </c>
      <c r="B53" s="237" t="str">
        <f>CONCATENATE('1-zapasy'!J35," : ",'1-zapasy'!I35)</f>
        <v>0 : 3</v>
      </c>
      <c r="C53" s="238" t="str">
        <f>CONCATENATE('1-zapasy'!I37," : ",'1-zapasy'!J37)</f>
        <v>0 : 3</v>
      </c>
      <c r="D53" s="238" t="str">
        <f>CONCATENATE('1-zapasy'!J39," : ",'1-zapasy'!I39)</f>
        <v>0 : 3</v>
      </c>
      <c r="E53" s="410"/>
      <c r="F53" s="407">
        <f>IF('1-zapasy'!J35&gt;'1-zapasy'!I35,2,IF('1-zapasy'!J35&lt;'1-zapasy'!I35,1,0))+IF('1-zapasy'!I37&gt;'1-zapasy'!J37,2,IF('1-zapasy'!I37&lt;'1-zapasy'!J37,1,0))+IF('1-zapasy'!J39&gt;'1-zapasy'!I39,2,IF('1-zapasy'!J39&lt;'1-zapasy'!I39,1,0))</f>
        <v>3</v>
      </c>
      <c r="G53" s="408" t="str">
        <f>CONCATENATE(SUM('1-zapasy'!J35,'1-zapasy'!I37,'1-zapasy'!J39)," : ",SUM('1-zapasy'!I35,'1-zapasy'!J37,'1-zapasy'!I39))</f>
        <v>0 : 9</v>
      </c>
      <c r="H53" s="409" t="s">
        <v>11</v>
      </c>
    </row>
    <row r="54" spans="1:9" ht="15" customHeight="1" thickBot="1" x14ac:dyDescent="0.25">
      <c r="A54" s="415"/>
      <c r="B54" s="241"/>
      <c r="C54" s="242" t="str">
        <f>CONCATENATE('1-zapasy'!D37,",",'1-zapasy'!E37,",",'1-zapasy'!F37,",",'1-zapasy'!G37,",",'1-zapasy'!H37)</f>
        <v>-11,-5,-8,,</v>
      </c>
      <c r="D54" s="242"/>
      <c r="E54" s="416"/>
      <c r="F54" s="417"/>
      <c r="G54" s="418"/>
      <c r="H54" s="419"/>
    </row>
    <row r="55" spans="1:9" ht="13.5" customHeight="1" thickTop="1" thickBot="1" x14ac:dyDescent="0.25"/>
    <row r="56" spans="1:9" ht="99.6" customHeight="1" thickTop="1" x14ac:dyDescent="0.2">
      <c r="A56" s="395" t="str">
        <f>CONCATENATE(A1,"                           ",'1-los'!F12)</f>
        <v>BTM Tišnov 5.9.2021                           skupina A6</v>
      </c>
      <c r="B56" s="243" t="str">
        <f>LEFT(A58,SEARCH(" ",A58))</f>
        <v xml:space="preserve">BUK </v>
      </c>
      <c r="C56" s="244" t="str">
        <f>LEFT(A60,SEARCH(" ",A60))</f>
        <v xml:space="preserve">MAZALOVÁ </v>
      </c>
      <c r="D56" s="244" t="str">
        <f>LEFT(A62,SEARCH(" ",A62))</f>
        <v xml:space="preserve">NOVOTNÁ </v>
      </c>
      <c r="E56" s="245" t="str">
        <f>LEFT(A64,SEARCH(" ",A64))</f>
        <v xml:space="preserve">DREITS </v>
      </c>
      <c r="F56" s="254" t="s">
        <v>299</v>
      </c>
      <c r="G56" s="255" t="s">
        <v>300</v>
      </c>
      <c r="H56" s="256" t="s">
        <v>517</v>
      </c>
    </row>
    <row r="57" spans="1:9" ht="9.9499999999999993" customHeight="1" thickBot="1" x14ac:dyDescent="0.25">
      <c r="A57" s="396"/>
      <c r="B57" s="230"/>
      <c r="C57" s="231"/>
      <c r="D57" s="231"/>
      <c r="E57" s="232"/>
      <c r="F57" s="257"/>
      <c r="G57" s="258"/>
      <c r="H57" s="259"/>
    </row>
    <row r="58" spans="1:9" ht="15" customHeight="1" thickTop="1" x14ac:dyDescent="0.2">
      <c r="A58" s="392" t="str">
        <f>'1-los'!G13</f>
        <v>BUK Lukáš (TTC MS Brno)</v>
      </c>
      <c r="B58" s="397"/>
      <c r="C58" s="233" t="str">
        <f>CONCATENATE('1-zapasy'!I48," : ",'1-zapasy'!J48)</f>
        <v>3 : 0</v>
      </c>
      <c r="D58" s="233" t="str">
        <f>CONCATENATE('1-zapasy'!J46," : ",'1-zapasy'!I46)</f>
        <v>3 : 0</v>
      </c>
      <c r="E58" s="234" t="str">
        <f>CONCATENATE('1-zapasy'!I43," : ",'1-zapasy'!J43)</f>
        <v>3 : 0</v>
      </c>
      <c r="F58" s="399">
        <f>IF('1-zapasy'!I43&gt;'1-zapasy'!J43,2,IF('1-zapasy'!I43&lt;'1-zapasy'!J43,1,0))+IF('1-zapasy'!J46&gt;'1-zapasy'!I46,2,IF('1-zapasy'!J46&lt;'1-zapasy'!I46,1,0))+IF('1-zapasy'!I48&gt;'1-zapasy'!J48,2,IF('1-zapasy'!I48&lt;'1-zapasy'!J48,1,0))</f>
        <v>6</v>
      </c>
      <c r="G58" s="401" t="str">
        <f>CONCATENATE(SUM('1-zapasy'!I43,'1-zapasy'!J46,'1-zapasy'!I48)," : ",SUM('1-zapasy'!J43,'1-zapasy'!I46,'1-zapasy'!J48))</f>
        <v>9 : 0</v>
      </c>
      <c r="H58" s="403" t="s">
        <v>1</v>
      </c>
      <c r="I58" s="324" t="s">
        <v>582</v>
      </c>
    </row>
    <row r="59" spans="1:9" ht="15" customHeight="1" x14ac:dyDescent="0.2">
      <c r="A59" s="393"/>
      <c r="B59" s="398"/>
      <c r="C59" s="235" t="str">
        <f>CONCATENATE('1-zapasy'!D48,",",'1-zapasy'!E48,",",'1-zapasy'!F48,",",'1-zapasy'!G48,",",'1-zapasy'!H48)</f>
        <v>6,10,9,,</v>
      </c>
      <c r="D59" s="235"/>
      <c r="E59" s="236" t="str">
        <f>CONCATENATE('1-zapasy'!D43,",",'1-zapasy'!E43,",",'1-zapasy'!F43,",",'1-zapasy'!G43,",",'1-zapasy'!H43)</f>
        <v>8,13,4,,</v>
      </c>
      <c r="F59" s="400"/>
      <c r="G59" s="402"/>
      <c r="H59" s="404"/>
      <c r="I59" s="324" t="s">
        <v>583</v>
      </c>
    </row>
    <row r="60" spans="1:9" ht="15" customHeight="1" x14ac:dyDescent="0.2">
      <c r="A60" s="393" t="str">
        <f>'1-los'!G14</f>
        <v>MAZALOVÁ Kristýna (KST Blansko)</v>
      </c>
      <c r="B60" s="237" t="str">
        <f>CONCATENATE('1-zapasy'!J48," : ",'1-zapasy'!I48)</f>
        <v>0 : 3</v>
      </c>
      <c r="C60" s="405"/>
      <c r="D60" s="238" t="str">
        <f>CONCATENATE('1-zapasy'!I44," : ",'1-zapasy'!J44)</f>
        <v>2 : 3</v>
      </c>
      <c r="E60" s="239" t="str">
        <f>CONCATENATE('1-zapasy'!J45," : ",'1-zapasy'!I45)</f>
        <v>0 : 3</v>
      </c>
      <c r="F60" s="407">
        <f>IF('1-zapasy'!I44&gt;'1-zapasy'!J44,2,IF('1-zapasy'!I44&lt;'1-zapasy'!J44,1,0))+IF('1-zapasy'!J45&gt;'1-zapasy'!I45,2,IF('1-zapasy'!J45&lt;'1-zapasy'!I45,1,0))+IF('1-zapasy'!J48&gt;'1-zapasy'!I48,2,IF('1-zapasy'!J48&lt;'1-zapasy'!I48,1,0))</f>
        <v>3</v>
      </c>
      <c r="G60" s="408" t="str">
        <f>CONCATENATE(SUM('1-zapasy'!I44,'1-zapasy'!J45,'1-zapasy'!J48)," : ",SUM('1-zapasy'!J44,'1-zapasy'!I45,'1-zapasy'!I48))</f>
        <v>2 : 9</v>
      </c>
      <c r="H60" s="409" t="s">
        <v>11</v>
      </c>
      <c r="I60" s="324" t="s">
        <v>584</v>
      </c>
    </row>
    <row r="61" spans="1:9" ht="15" customHeight="1" x14ac:dyDescent="0.2">
      <c r="A61" s="393"/>
      <c r="B61" s="240"/>
      <c r="C61" s="406"/>
      <c r="D61" s="235" t="str">
        <f>CONCATENATE('1-zapasy'!D44,",",'1-zapasy'!E44,",",'1-zapasy'!F44,",",'1-zapasy'!G44,",",'1-zapasy'!H44)</f>
        <v>-4,-6,3,9,-6</v>
      </c>
      <c r="E61" s="236"/>
      <c r="F61" s="400"/>
      <c r="G61" s="402"/>
      <c r="H61" s="404"/>
      <c r="I61" s="324" t="s">
        <v>585</v>
      </c>
    </row>
    <row r="62" spans="1:9" ht="15" customHeight="1" x14ac:dyDescent="0.2">
      <c r="A62" s="393" t="str">
        <f>'1-los'!G15</f>
        <v>NOVOTNÁ Eliška (SKST Hodonín)</v>
      </c>
      <c r="B62" s="237" t="str">
        <f>CONCATENATE('1-zapasy'!I46," : ",'1-zapasy'!J46)</f>
        <v>0 : 3</v>
      </c>
      <c r="C62" s="238" t="str">
        <f>CONCATENATE('1-zapasy'!J44," : ",'1-zapasy'!I44)</f>
        <v>3 : 2</v>
      </c>
      <c r="D62" s="405"/>
      <c r="E62" s="239" t="str">
        <f>CONCATENATE('1-zapasy'!I47," : ",'1-zapasy'!J47)</f>
        <v>0 : 3</v>
      </c>
      <c r="F62" s="407">
        <f>IF('1-zapasy'!J44&gt;'1-zapasy'!I44,2,IF('1-zapasy'!J44&lt;'1-zapasy'!I44,1,0))+IF('1-zapasy'!I46&gt;'1-zapasy'!J46,2,IF('1-zapasy'!I46&lt;'1-zapasy'!J46,1,0))+IF('1-zapasy'!I47&gt;'1-zapasy'!J47,2,IF('1-zapasy'!I47&lt;'1-zapasy'!J47,1,0))</f>
        <v>4</v>
      </c>
      <c r="G62" s="408" t="str">
        <f>CONCATENATE(SUM('1-zapasy'!J44,'1-zapasy'!I46,'1-zapasy'!I47)," : ",SUM('1-zapasy'!I44,'1-zapasy'!J46,'1-zapasy'!J47))</f>
        <v>3 : 8</v>
      </c>
      <c r="H62" s="409" t="s">
        <v>5</v>
      </c>
      <c r="I62" s="324" t="s">
        <v>586</v>
      </c>
    </row>
    <row r="63" spans="1:9" ht="15" customHeight="1" x14ac:dyDescent="0.2">
      <c r="A63" s="393"/>
      <c r="B63" s="240" t="str">
        <f>CONCATENATE('1-zapasy'!D46,",",'1-zapasy'!E46,",",'1-zapasy'!F46,",",'1-zapasy'!G46,",",'1-zapasy'!H46)</f>
        <v>-1,-6,-7,,</v>
      </c>
      <c r="C63" s="235"/>
      <c r="D63" s="406"/>
      <c r="E63" s="236" t="str">
        <f>CONCATENATE('1-zapasy'!D47,",",'1-zapasy'!E47,",",'1-zapasy'!F47,",",'1-zapasy'!G47,",",'1-zapasy'!H47)</f>
        <v>-6,-5,-6,,</v>
      </c>
      <c r="F63" s="400"/>
      <c r="G63" s="402"/>
      <c r="H63" s="404"/>
      <c r="I63" s="324" t="s">
        <v>587</v>
      </c>
    </row>
    <row r="64" spans="1:9" ht="15" customHeight="1" x14ac:dyDescent="0.2">
      <c r="A64" s="393" t="str">
        <f>'1-los'!G16</f>
        <v>DREITS Anastasiia (TTC Koral Tišnov)</v>
      </c>
      <c r="B64" s="237" t="str">
        <f>CONCATENATE('1-zapasy'!J43," : ",'1-zapasy'!I43)</f>
        <v>0 : 3</v>
      </c>
      <c r="C64" s="238" t="str">
        <f>CONCATENATE('1-zapasy'!I45," : ",'1-zapasy'!J45)</f>
        <v>3 : 0</v>
      </c>
      <c r="D64" s="238" t="str">
        <f>CONCATENATE('1-zapasy'!J47," : ",'1-zapasy'!I47)</f>
        <v>3 : 0</v>
      </c>
      <c r="E64" s="410"/>
      <c r="F64" s="407">
        <f>IF('1-zapasy'!J43&gt;'1-zapasy'!I43,2,IF('1-zapasy'!J43&lt;'1-zapasy'!I43,1,0))+IF('1-zapasy'!I45&gt;'1-zapasy'!J45,2,IF('1-zapasy'!I45&lt;'1-zapasy'!J45,1,0))+IF('1-zapasy'!J47&gt;'1-zapasy'!I47,2,IF('1-zapasy'!J47&lt;'1-zapasy'!I47,1,0))</f>
        <v>5</v>
      </c>
      <c r="G64" s="408" t="str">
        <f>CONCATENATE(SUM('1-zapasy'!J43,'1-zapasy'!I45,'1-zapasy'!J47)," : ",SUM('1-zapasy'!I43,'1-zapasy'!J45,'1-zapasy'!I47))</f>
        <v>6 : 3</v>
      </c>
      <c r="H64" s="409" t="s">
        <v>3</v>
      </c>
    </row>
    <row r="65" spans="1:9" ht="15" customHeight="1" thickBot="1" x14ac:dyDescent="0.25">
      <c r="A65" s="415"/>
      <c r="B65" s="241"/>
      <c r="C65" s="242" t="str">
        <f>CONCATENATE('1-zapasy'!D45,",",'1-zapasy'!E45,",",'1-zapasy'!F45,",",'1-zapasy'!G45,",",'1-zapasy'!H45)</f>
        <v>9,10,6,,</v>
      </c>
      <c r="D65" s="242"/>
      <c r="E65" s="416"/>
      <c r="F65" s="417"/>
      <c r="G65" s="418"/>
      <c r="H65" s="419"/>
    </row>
    <row r="66" spans="1:9" ht="13.5" customHeight="1" thickTop="1" thickBot="1" x14ac:dyDescent="0.25"/>
    <row r="67" spans="1:9" ht="99.6" customHeight="1" thickTop="1" x14ac:dyDescent="0.2">
      <c r="A67" s="395" t="str">
        <f>CONCATENATE(A1,"                           ",'1-los'!D17)</f>
        <v>BTM Tišnov 5.9.2021                           skupina A7</v>
      </c>
      <c r="B67" s="243" t="str">
        <f>LEFT(A69,SEARCH(" ",A69))</f>
        <v xml:space="preserve">POKORNÝ </v>
      </c>
      <c r="C67" s="244" t="str">
        <f>LEFT(A71,SEARCH(" ",A71))</f>
        <v xml:space="preserve">HAVRÁNEK </v>
      </c>
      <c r="D67" s="244" t="str">
        <f>LEFT(A73,SEARCH(" ",A73))</f>
        <v xml:space="preserve">KRÁL </v>
      </c>
      <c r="E67" s="245"/>
      <c r="F67" s="254" t="s">
        <v>299</v>
      </c>
      <c r="G67" s="255" t="s">
        <v>300</v>
      </c>
      <c r="H67" s="256" t="s">
        <v>517</v>
      </c>
    </row>
    <row r="68" spans="1:9" ht="9.9499999999999993" customHeight="1" thickBot="1" x14ac:dyDescent="0.25">
      <c r="A68" s="396"/>
      <c r="B68" s="230"/>
      <c r="C68" s="231"/>
      <c r="D68" s="231"/>
      <c r="E68" s="232"/>
      <c r="F68" s="257"/>
      <c r="G68" s="258"/>
      <c r="H68" s="259"/>
    </row>
    <row r="69" spans="1:9" ht="15" customHeight="1" thickTop="1" x14ac:dyDescent="0.2">
      <c r="A69" s="392" t="str">
        <f>'1-los'!E18</f>
        <v>POKORNÝ Martin (KST Blansko)</v>
      </c>
      <c r="B69" s="397"/>
      <c r="C69" s="233" t="str">
        <f>CONCATENATE('1-zapasy'!I56," : ",'1-zapasy'!J56)</f>
        <v>3 : 1</v>
      </c>
      <c r="D69" s="233" t="str">
        <f>CONCATENATE('1-zapasy'!J54," : ",'1-zapasy'!I54)</f>
        <v>1 : 3</v>
      </c>
      <c r="E69" s="234" t="str">
        <f>CONCATENATE('1-zapasy'!I51," : ",'1-zapasy'!J51)</f>
        <v xml:space="preserve"> : </v>
      </c>
      <c r="F69" s="399">
        <f>IF('1-zapasy'!I51&gt;'1-zapasy'!J51,2,IF('1-zapasy'!I51&lt;'1-zapasy'!J51,1,0))+IF('1-zapasy'!J54&gt;'1-zapasy'!I54,2,IF('1-zapasy'!J54&lt;'1-zapasy'!I54,1,0))+IF('1-zapasy'!I56&gt;'1-zapasy'!J56,2,IF('1-zapasy'!I56&lt;'1-zapasy'!J56,1,0))</f>
        <v>3</v>
      </c>
      <c r="G69" s="401" t="str">
        <f>CONCATENATE(SUM('1-zapasy'!I51,'1-zapasy'!J54,'1-zapasy'!I56)," : ",SUM('1-zapasy'!J51,'1-zapasy'!I54,'1-zapasy'!J56))</f>
        <v>4 : 4</v>
      </c>
      <c r="H69" s="403" t="s">
        <v>3</v>
      </c>
      <c r="I69" s="324" t="s">
        <v>582</v>
      </c>
    </row>
    <row r="70" spans="1:9" ht="15" customHeight="1" x14ac:dyDescent="0.2">
      <c r="A70" s="393"/>
      <c r="B70" s="398"/>
      <c r="C70" s="235" t="str">
        <f>CONCATENATE('1-zapasy'!D56,",",'1-zapasy'!E56,",",'1-zapasy'!F56,",",'1-zapasy'!G56,",",'1-zapasy'!H56)</f>
        <v>5,7,-11,4,</v>
      </c>
      <c r="D70" s="235"/>
      <c r="E70" s="236" t="str">
        <f>CONCATENATE('1-zapasy'!D51,",",'1-zapasy'!E51,",",'1-zapasy'!F51,",",'1-zapasy'!G51,",",'1-zapasy'!H51)</f>
        <v>,,,,</v>
      </c>
      <c r="F70" s="400"/>
      <c r="G70" s="402"/>
      <c r="H70" s="404"/>
      <c r="I70" s="324" t="s">
        <v>583</v>
      </c>
    </row>
    <row r="71" spans="1:9" ht="15" customHeight="1" x14ac:dyDescent="0.2">
      <c r="A71" s="393" t="str">
        <f>'1-los'!E19</f>
        <v>HAVRÁNEK Ondřej (TTC MS Brno)</v>
      </c>
      <c r="B71" s="237" t="str">
        <f>CONCATENATE('1-zapasy'!J56," : ",'1-zapasy'!I56)</f>
        <v>1 : 3</v>
      </c>
      <c r="C71" s="405"/>
      <c r="D71" s="238" t="str">
        <f>CONCATENATE('1-zapasy'!I52," : ",'1-zapasy'!J52)</f>
        <v>0 : 3</v>
      </c>
      <c r="E71" s="239" t="str">
        <f>CONCATENATE('1-zapasy'!J53," : ",'1-zapasy'!I53)</f>
        <v xml:space="preserve"> : </v>
      </c>
      <c r="F71" s="407">
        <f>IF('1-zapasy'!I52&gt;'1-zapasy'!J52,2,IF('1-zapasy'!I52&lt;'1-zapasy'!J52,1,0))+IF('1-zapasy'!J53&gt;'1-zapasy'!I53,2,IF('1-zapasy'!J53&lt;'1-zapasy'!I53,1,0))+IF('1-zapasy'!J56&gt;'1-zapasy'!I56,2,IF('1-zapasy'!J56&lt;'1-zapasy'!I56,1,0))</f>
        <v>2</v>
      </c>
      <c r="G71" s="408" t="str">
        <f>CONCATENATE(SUM('1-zapasy'!I52,'1-zapasy'!J53,'1-zapasy'!J56)," : ",SUM('1-zapasy'!J52,'1-zapasy'!I53,'1-zapasy'!I56))</f>
        <v>1 : 6</v>
      </c>
      <c r="H71" s="409" t="s">
        <v>5</v>
      </c>
      <c r="I71" s="324" t="s">
        <v>584</v>
      </c>
    </row>
    <row r="72" spans="1:9" ht="15" customHeight="1" x14ac:dyDescent="0.2">
      <c r="A72" s="393"/>
      <c r="B72" s="240"/>
      <c r="C72" s="406"/>
      <c r="D72" s="235" t="str">
        <f>CONCATENATE('1-zapasy'!D52,",",'1-zapasy'!E52,",",'1-zapasy'!F52,",",'1-zapasy'!G52,",",'1-zapasy'!H52)</f>
        <v>-8,-4,-11,,</v>
      </c>
      <c r="E72" s="236"/>
      <c r="F72" s="400"/>
      <c r="G72" s="402"/>
      <c r="H72" s="404"/>
      <c r="I72" s="324" t="s">
        <v>585</v>
      </c>
    </row>
    <row r="73" spans="1:9" ht="15" customHeight="1" x14ac:dyDescent="0.2">
      <c r="A73" s="393" t="str">
        <f>'1-los'!E20</f>
        <v>KRÁL Ondřej (SKST Hodonín)</v>
      </c>
      <c r="B73" s="237" t="str">
        <f>CONCATENATE('1-zapasy'!I54," : ",'1-zapasy'!J54)</f>
        <v>3 : 1</v>
      </c>
      <c r="C73" s="238" t="str">
        <f>CONCATENATE('1-zapasy'!J52," : ",'1-zapasy'!I52)</f>
        <v>3 : 0</v>
      </c>
      <c r="D73" s="405"/>
      <c r="E73" s="239" t="str">
        <f>CONCATENATE('1-zapasy'!I55," : ",'1-zapasy'!J55)</f>
        <v xml:space="preserve"> : </v>
      </c>
      <c r="F73" s="407">
        <f>IF('1-zapasy'!J52&gt;'1-zapasy'!I52,2,IF('1-zapasy'!J52&lt;'1-zapasy'!I52,1,0))+IF('1-zapasy'!I54&gt;'1-zapasy'!J54,2,IF('1-zapasy'!I54&lt;'1-zapasy'!J54,1,0))+IF('1-zapasy'!I55&gt;'1-zapasy'!J55,2,IF('1-zapasy'!I55&lt;'1-zapasy'!J55,1,0))</f>
        <v>4</v>
      </c>
      <c r="G73" s="408" t="str">
        <f>CONCATENATE(SUM('1-zapasy'!J52,'1-zapasy'!I54,'1-zapasy'!I55)," : ",SUM('1-zapasy'!I52,'1-zapasy'!J54,'1-zapasy'!J55))</f>
        <v>6 : 1</v>
      </c>
      <c r="H73" s="409" t="s">
        <v>1</v>
      </c>
      <c r="I73" s="324" t="s">
        <v>586</v>
      </c>
    </row>
    <row r="74" spans="1:9" ht="15" customHeight="1" x14ac:dyDescent="0.2">
      <c r="A74" s="393"/>
      <c r="B74" s="240" t="str">
        <f>CONCATENATE('1-zapasy'!D54,",",'1-zapasy'!E54,",",'1-zapasy'!F54,",",'1-zapasy'!G54,",",'1-zapasy'!H54)</f>
        <v>4,8,-9,7,</v>
      </c>
      <c r="C74" s="235"/>
      <c r="D74" s="406"/>
      <c r="E74" s="236" t="str">
        <f>CONCATENATE('1-zapasy'!D55,",",'1-zapasy'!E55,",",'1-zapasy'!F55,",",'1-zapasy'!G55,",",'1-zapasy'!H55)</f>
        <v>,,,,</v>
      </c>
      <c r="F74" s="400"/>
      <c r="G74" s="402"/>
      <c r="H74" s="404"/>
      <c r="I74" s="324" t="s">
        <v>587</v>
      </c>
    </row>
    <row r="75" spans="1:9" ht="15" customHeight="1" x14ac:dyDescent="0.2">
      <c r="A75" s="393" t="str">
        <f>'1-los'!E21</f>
        <v/>
      </c>
      <c r="B75" s="237" t="str">
        <f>CONCATENATE('1-zapasy'!J51," : ",'1-zapasy'!I51)</f>
        <v xml:space="preserve"> : </v>
      </c>
      <c r="C75" s="238" t="str">
        <f>CONCATENATE('1-zapasy'!I53," : ",'1-zapasy'!J53)</f>
        <v xml:space="preserve"> : </v>
      </c>
      <c r="D75" s="238" t="str">
        <f>CONCATENATE('1-zapasy'!J55," : ",'1-zapasy'!I55)</f>
        <v xml:space="preserve"> : </v>
      </c>
      <c r="E75" s="410"/>
      <c r="F75" s="407">
        <f>IF('1-zapasy'!J51&gt;'1-zapasy'!I51,2,IF('1-zapasy'!J51&lt;'1-zapasy'!I51,1,0))+IF('1-zapasy'!I53&gt;'1-zapasy'!J53,2,IF('1-zapasy'!I53&lt;'1-zapasy'!J53,1,0))+IF('1-zapasy'!J55&gt;'1-zapasy'!I55,2,IF('1-zapasy'!J55&lt;'1-zapasy'!I55,1,0))</f>
        <v>0</v>
      </c>
      <c r="G75" s="408" t="str">
        <f>CONCATENATE(SUM('1-zapasy'!J51,'1-zapasy'!I53,'1-zapasy'!J55)," : ",SUM('1-zapasy'!I51,'1-zapasy'!J53,'1-zapasy'!I55))</f>
        <v>0 : 0</v>
      </c>
      <c r="H75" s="409"/>
    </row>
    <row r="76" spans="1:9" ht="15" customHeight="1" thickBot="1" x14ac:dyDescent="0.25">
      <c r="A76" s="415"/>
      <c r="B76" s="241"/>
      <c r="C76" s="242" t="str">
        <f>CONCATENATE('1-zapasy'!D53,",",'1-zapasy'!E53,",",'1-zapasy'!F53,",",'1-zapasy'!G53,",",'1-zapasy'!H53)</f>
        <v>,,,,</v>
      </c>
      <c r="D76" s="242"/>
      <c r="E76" s="416"/>
      <c r="F76" s="417"/>
      <c r="G76" s="418"/>
      <c r="H76" s="419"/>
    </row>
    <row r="77" spans="1:9" ht="13.5" customHeight="1" thickTop="1" thickBot="1" x14ac:dyDescent="0.25"/>
    <row r="78" spans="1:9" ht="99.6" customHeight="1" thickTop="1" x14ac:dyDescent="0.2">
      <c r="A78" s="395" t="str">
        <f>CONCATENATE(A1,"                           ",'1-los'!F17)</f>
        <v>BTM Tišnov 5.9.2021                           skupina A8</v>
      </c>
      <c r="B78" s="243" t="str">
        <f>LEFT(A80,SEARCH(" ",A80))</f>
        <v xml:space="preserve">DOFEK </v>
      </c>
      <c r="C78" s="244" t="str">
        <f>LEFT(A82,SEARCH(" ",A82))</f>
        <v xml:space="preserve">PILITOWSKÁ </v>
      </c>
      <c r="D78" s="244" t="str">
        <f>LEFT(A84,SEARCH(" ",A84))</f>
        <v xml:space="preserve">PAŘÍZEK </v>
      </c>
      <c r="E78" s="245" t="str">
        <f>LEFT(A86,SEARCH(" ",A86))</f>
        <v xml:space="preserve">ŠIMEČEK </v>
      </c>
      <c r="F78" s="254" t="s">
        <v>299</v>
      </c>
      <c r="G78" s="255" t="s">
        <v>300</v>
      </c>
      <c r="H78" s="256" t="s">
        <v>517</v>
      </c>
    </row>
    <row r="79" spans="1:9" ht="9.9499999999999993" customHeight="1" thickBot="1" x14ac:dyDescent="0.25">
      <c r="A79" s="396"/>
      <c r="B79" s="230"/>
      <c r="C79" s="231"/>
      <c r="D79" s="231"/>
      <c r="E79" s="232"/>
      <c r="F79" s="257"/>
      <c r="G79" s="258"/>
      <c r="H79" s="259"/>
    </row>
    <row r="80" spans="1:9" ht="15" customHeight="1" thickTop="1" x14ac:dyDescent="0.2">
      <c r="A80" s="392" t="str">
        <f>'1-los'!G18</f>
        <v>DOFEK David (KST Vyškov)</v>
      </c>
      <c r="B80" s="397"/>
      <c r="C80" s="233" t="str">
        <f>CONCATENATE('1-zapasy'!I64," : ",'1-zapasy'!J64)</f>
        <v>3 : 0</v>
      </c>
      <c r="D80" s="233" t="str">
        <f>CONCATENATE('1-zapasy'!J62," : ",'1-zapasy'!I62)</f>
        <v>3 : 0</v>
      </c>
      <c r="E80" s="234" t="str">
        <f>CONCATENATE('1-zapasy'!I59," : ",'1-zapasy'!J59)</f>
        <v>3 : 0</v>
      </c>
      <c r="F80" s="399">
        <f>IF('1-zapasy'!I59&gt;'1-zapasy'!J59,2,IF('1-zapasy'!I59&lt;'1-zapasy'!J59,1,0))+IF('1-zapasy'!J62&gt;'1-zapasy'!I62,2,IF('1-zapasy'!J62&lt;'1-zapasy'!I62,1,0))+IF('1-zapasy'!I64&gt;'1-zapasy'!J64,2,IF('1-zapasy'!I64&lt;'1-zapasy'!J64,1,0))</f>
        <v>6</v>
      </c>
      <c r="G80" s="401" t="str">
        <f>CONCATENATE(SUM('1-zapasy'!I59,'1-zapasy'!J62,'1-zapasy'!I64)," : ",SUM('1-zapasy'!J59,'1-zapasy'!I62,'1-zapasy'!J64))</f>
        <v>9 : 0</v>
      </c>
      <c r="H80" s="403" t="s">
        <v>1</v>
      </c>
      <c r="I80" s="324" t="s">
        <v>582</v>
      </c>
    </row>
    <row r="81" spans="1:9" ht="15" customHeight="1" x14ac:dyDescent="0.2">
      <c r="A81" s="393"/>
      <c r="B81" s="398"/>
      <c r="C81" s="235" t="str">
        <f>CONCATENATE('1-zapasy'!D64,",",'1-zapasy'!E64,",",'1-zapasy'!F64,",",'1-zapasy'!G64,",",'1-zapasy'!H64)</f>
        <v>8,9,4,,</v>
      </c>
      <c r="D81" s="235"/>
      <c r="E81" s="236" t="str">
        <f>CONCATENATE('1-zapasy'!D59,",",'1-zapasy'!E59,",",'1-zapasy'!F59,",",'1-zapasy'!G59,",",'1-zapasy'!H59)</f>
        <v>5,6,6,,</v>
      </c>
      <c r="F81" s="400"/>
      <c r="G81" s="402"/>
      <c r="H81" s="404"/>
      <c r="I81" s="324" t="s">
        <v>583</v>
      </c>
    </row>
    <row r="82" spans="1:9" ht="15" customHeight="1" x14ac:dyDescent="0.2">
      <c r="A82" s="393" t="str">
        <f>'1-los'!G19</f>
        <v>PILITOWSKÁ Lea (KST Blansko)</v>
      </c>
      <c r="B82" s="237" t="str">
        <f>CONCATENATE('1-zapasy'!J64," : ",'1-zapasy'!I64)</f>
        <v>0 : 3</v>
      </c>
      <c r="C82" s="405"/>
      <c r="D82" s="238" t="str">
        <f>CONCATENATE('1-zapasy'!I60," : ",'1-zapasy'!J60)</f>
        <v>0 : 3</v>
      </c>
      <c r="E82" s="239" t="str">
        <f>CONCATENATE('1-zapasy'!J61," : ",'1-zapasy'!I61)</f>
        <v>3 : 0</v>
      </c>
      <c r="F82" s="407">
        <f>IF('1-zapasy'!I60&gt;'1-zapasy'!J60,2,IF('1-zapasy'!I60&lt;'1-zapasy'!J60,1,0))+IF('1-zapasy'!J61&gt;'1-zapasy'!I61,2,IF('1-zapasy'!J61&lt;'1-zapasy'!I61,1,0))+IF('1-zapasy'!J64&gt;'1-zapasy'!I64,2,IF('1-zapasy'!J64&lt;'1-zapasy'!I64,1,0))</f>
        <v>4</v>
      </c>
      <c r="G82" s="408" t="str">
        <f>CONCATENATE(SUM('1-zapasy'!I60,'1-zapasy'!J61,'1-zapasy'!J64)," : ",SUM('1-zapasy'!J60,'1-zapasy'!I61,'1-zapasy'!I64))</f>
        <v>3 : 6</v>
      </c>
      <c r="H82" s="409" t="s">
        <v>5</v>
      </c>
      <c r="I82" s="324" t="s">
        <v>584</v>
      </c>
    </row>
    <row r="83" spans="1:9" ht="15" customHeight="1" x14ac:dyDescent="0.2">
      <c r="A83" s="393"/>
      <c r="B83" s="240"/>
      <c r="C83" s="406"/>
      <c r="D83" s="235" t="str">
        <f>CONCATENATE('1-zapasy'!D60,",",'1-zapasy'!E60,",",'1-zapasy'!F60,",",'1-zapasy'!G60,",",'1-zapasy'!H60)</f>
        <v>-8,-8,-4,,</v>
      </c>
      <c r="E83" s="236"/>
      <c r="F83" s="400"/>
      <c r="G83" s="402"/>
      <c r="H83" s="404"/>
      <c r="I83" s="324" t="s">
        <v>585</v>
      </c>
    </row>
    <row r="84" spans="1:9" ht="15" customHeight="1" x14ac:dyDescent="0.2">
      <c r="A84" s="393" t="str">
        <f>'1-los'!G20</f>
        <v>PAŘÍZEK Richard (SKST Hodonín)</v>
      </c>
      <c r="B84" s="237" t="str">
        <f>CONCATENATE('1-zapasy'!I62," : ",'1-zapasy'!J62)</f>
        <v>0 : 3</v>
      </c>
      <c r="C84" s="238" t="str">
        <f>CONCATENATE('1-zapasy'!J60," : ",'1-zapasy'!I60)</f>
        <v>3 : 0</v>
      </c>
      <c r="D84" s="405"/>
      <c r="E84" s="239" t="str">
        <f>CONCATENATE('1-zapasy'!I63," : ",'1-zapasy'!J63)</f>
        <v>3 : 0</v>
      </c>
      <c r="F84" s="407">
        <f>IF('1-zapasy'!J60&gt;'1-zapasy'!I60,2,IF('1-zapasy'!J60&lt;'1-zapasy'!I60,1,0))+IF('1-zapasy'!I62&gt;'1-zapasy'!J62,2,IF('1-zapasy'!I62&lt;'1-zapasy'!J62,1,0))+IF('1-zapasy'!I63&gt;'1-zapasy'!J63,2,IF('1-zapasy'!I63&lt;'1-zapasy'!J63,1,0))</f>
        <v>5</v>
      </c>
      <c r="G84" s="408" t="str">
        <f>CONCATENATE(SUM('1-zapasy'!J60,'1-zapasy'!I62,'1-zapasy'!I63)," : ",SUM('1-zapasy'!I60,'1-zapasy'!J62,'1-zapasy'!J63))</f>
        <v>6 : 3</v>
      </c>
      <c r="H84" s="409" t="s">
        <v>3</v>
      </c>
      <c r="I84" s="324" t="s">
        <v>586</v>
      </c>
    </row>
    <row r="85" spans="1:9" ht="15" customHeight="1" x14ac:dyDescent="0.2">
      <c r="A85" s="393"/>
      <c r="B85" s="240" t="str">
        <f>CONCATENATE('1-zapasy'!D62,",",'1-zapasy'!E62,",",'1-zapasy'!F62,",",'1-zapasy'!G62,",",'1-zapasy'!H62)</f>
        <v>-7,-4,-10,,</v>
      </c>
      <c r="C85" s="235"/>
      <c r="D85" s="406"/>
      <c r="E85" s="236" t="str">
        <f>CONCATENATE('1-zapasy'!D63,",",'1-zapasy'!E63,",",'1-zapasy'!F63,",",'1-zapasy'!G63,",",'1-zapasy'!H63)</f>
        <v>2,5,1,,</v>
      </c>
      <c r="F85" s="400"/>
      <c r="G85" s="402"/>
      <c r="H85" s="404"/>
      <c r="I85" s="324" t="s">
        <v>587</v>
      </c>
    </row>
    <row r="86" spans="1:9" ht="15" customHeight="1" x14ac:dyDescent="0.2">
      <c r="A86" s="393" t="str">
        <f>'1-los'!G21</f>
        <v>ŠIMEČEK Robin (TTC MS Brno)</v>
      </c>
      <c r="B86" s="237" t="str">
        <f>CONCATENATE('1-zapasy'!J59," : ",'1-zapasy'!I59)</f>
        <v>0 : 3</v>
      </c>
      <c r="C86" s="238" t="str">
        <f>CONCATENATE('1-zapasy'!I61," : ",'1-zapasy'!J61)</f>
        <v>0 : 3</v>
      </c>
      <c r="D86" s="238" t="str">
        <f>CONCATENATE('1-zapasy'!J63," : ",'1-zapasy'!I63)</f>
        <v>0 : 3</v>
      </c>
      <c r="E86" s="410"/>
      <c r="F86" s="407">
        <f>IF('1-zapasy'!J59&gt;'1-zapasy'!I59,2,IF('1-zapasy'!J59&lt;'1-zapasy'!I59,1,0))+IF('1-zapasy'!I61&gt;'1-zapasy'!J61,2,IF('1-zapasy'!I61&lt;'1-zapasy'!J61,1,0))+IF('1-zapasy'!J63&gt;'1-zapasy'!I63,2,IF('1-zapasy'!J63&lt;'1-zapasy'!I63,1,0))</f>
        <v>3</v>
      </c>
      <c r="G86" s="408" t="str">
        <f>CONCATENATE(SUM('1-zapasy'!J59,'1-zapasy'!I61,'1-zapasy'!J63)," : ",SUM('1-zapasy'!I59,'1-zapasy'!J61,'1-zapasy'!I63))</f>
        <v>0 : 9</v>
      </c>
      <c r="H86" s="409" t="s">
        <v>11</v>
      </c>
    </row>
    <row r="87" spans="1:9" ht="15" customHeight="1" thickBot="1" x14ac:dyDescent="0.25">
      <c r="A87" s="415"/>
      <c r="B87" s="241"/>
      <c r="C87" s="242" t="str">
        <f>CONCATENATE('1-zapasy'!D61,",",'1-zapasy'!E61,",",'1-zapasy'!F61,",",'1-zapasy'!G61,",",'1-zapasy'!H61)</f>
        <v>-8,-5,-7,,</v>
      </c>
      <c r="D87" s="242"/>
      <c r="E87" s="416"/>
      <c r="F87" s="417"/>
      <c r="G87" s="418"/>
      <c r="H87" s="419"/>
    </row>
    <row r="88" spans="1:9" ht="99.6" customHeight="1" thickTop="1" x14ac:dyDescent="0.2">
      <c r="A88" s="395" t="str">
        <f>CONCATENATE(A1,"                           ",'1-los'!D22)</f>
        <v>BTM Tišnov 5.9.2021                           skupina B3</v>
      </c>
      <c r="B88" s="243" t="e">
        <f>LEFT(A90,SEARCH(" ",A90))</f>
        <v>#VALUE!</v>
      </c>
      <c r="C88" s="244" t="e">
        <f>LEFT(A92,SEARCH(" ",A92))</f>
        <v>#VALUE!</v>
      </c>
      <c r="D88" s="244" t="e">
        <f>LEFT(A94,SEARCH(" ",A94))</f>
        <v>#VALUE!</v>
      </c>
      <c r="E88" s="245" t="e">
        <f>LEFT(A96,SEARCH(" ",A96))</f>
        <v>#VALUE!</v>
      </c>
      <c r="F88" s="254" t="s">
        <v>299</v>
      </c>
      <c r="G88" s="255" t="s">
        <v>300</v>
      </c>
      <c r="H88" s="256" t="s">
        <v>517</v>
      </c>
    </row>
    <row r="89" spans="1:9" ht="9.9499999999999993" customHeight="1" thickBot="1" x14ac:dyDescent="0.25">
      <c r="A89" s="396"/>
      <c r="B89" s="230"/>
      <c r="C89" s="231"/>
      <c r="D89" s="231"/>
      <c r="E89" s="232"/>
      <c r="F89" s="257"/>
      <c r="G89" s="258"/>
      <c r="H89" s="259"/>
    </row>
    <row r="90" spans="1:9" ht="15" customHeight="1" thickTop="1" x14ac:dyDescent="0.2">
      <c r="A90" s="392" t="str">
        <f>'1-los'!E23</f>
        <v/>
      </c>
      <c r="B90" s="397"/>
      <c r="C90" s="233" t="str">
        <f>CONCATENATE('1-zapasy'!I72," : ",'1-zapasy'!J72)</f>
        <v xml:space="preserve"> : </v>
      </c>
      <c r="D90" s="233" t="str">
        <f>CONCATENATE('1-zapasy'!J70," : ",'1-zapasy'!I70)</f>
        <v xml:space="preserve"> : </v>
      </c>
      <c r="E90" s="234" t="str">
        <f>CONCATENATE('1-zapasy'!I67," : ",'1-zapasy'!J67)</f>
        <v xml:space="preserve"> : </v>
      </c>
      <c r="F90" s="399">
        <f>IF('1-zapasy'!I67&gt;'1-zapasy'!J67,2,IF('1-zapasy'!I67&lt;'1-zapasy'!J67,1,0))+IF('1-zapasy'!J70&gt;'1-zapasy'!I70,2,IF('1-zapasy'!J70&lt;'1-zapasy'!I70,1,0))+IF('1-zapasy'!I72&gt;'1-zapasy'!J72,2,IF('1-zapasy'!I72&lt;'1-zapasy'!J72,1,0))</f>
        <v>0</v>
      </c>
      <c r="G90" s="401" t="str">
        <f>CONCATENATE(SUM('1-zapasy'!I67,'1-zapasy'!J70,'1-zapasy'!I72)," : ",SUM('1-zapasy'!J67,'1-zapasy'!I70,'1-zapasy'!J72))</f>
        <v>0 : 0</v>
      </c>
      <c r="H90" s="403"/>
      <c r="I90" s="324" t="s">
        <v>582</v>
      </c>
    </row>
    <row r="91" spans="1:9" ht="15" customHeight="1" x14ac:dyDescent="0.2">
      <c r="A91" s="393"/>
      <c r="B91" s="398"/>
      <c r="C91" s="235" t="str">
        <f>CONCATENATE('1-zapasy'!D72,",",'1-zapasy'!E72,",",'1-zapasy'!F72,",",'1-zapasy'!G72,",",'1-zapasy'!H72)</f>
        <v>,,,,</v>
      </c>
      <c r="D91" s="235"/>
      <c r="E91" s="236" t="str">
        <f>CONCATENATE('1-zapasy'!D67,",",'1-zapasy'!E67,",",'1-zapasy'!F67,",",'1-zapasy'!G67,",",'1-zapasy'!H67)</f>
        <v>,,,,</v>
      </c>
      <c r="F91" s="400"/>
      <c r="G91" s="402"/>
      <c r="H91" s="404"/>
      <c r="I91" s="324" t="s">
        <v>583</v>
      </c>
    </row>
    <row r="92" spans="1:9" ht="15" customHeight="1" x14ac:dyDescent="0.2">
      <c r="A92" s="393" t="str">
        <f>'1-los'!E24</f>
        <v/>
      </c>
      <c r="B92" s="237" t="str">
        <f>CONCATENATE('1-zapasy'!J72," : ",'1-zapasy'!I72)</f>
        <v xml:space="preserve"> : </v>
      </c>
      <c r="C92" s="405"/>
      <c r="D92" s="238" t="str">
        <f>CONCATENATE('1-zapasy'!I68," : ",'1-zapasy'!J68)</f>
        <v xml:space="preserve"> : </v>
      </c>
      <c r="E92" s="239" t="str">
        <f>CONCATENATE('1-zapasy'!J69," : ",'1-zapasy'!I69)</f>
        <v xml:space="preserve"> : </v>
      </c>
      <c r="F92" s="407">
        <f>IF('1-zapasy'!I68&gt;'1-zapasy'!J68,2,IF('1-zapasy'!I68&lt;'1-zapasy'!J68,1,0))+IF('1-zapasy'!J69&gt;'1-zapasy'!I69,2,IF('1-zapasy'!J69&lt;'1-zapasy'!I69,1,0))+IF('1-zapasy'!J72&gt;'1-zapasy'!I72,2,IF('1-zapasy'!J72&lt;'1-zapasy'!I72,1,0))</f>
        <v>0</v>
      </c>
      <c r="G92" s="408" t="str">
        <f>CONCATENATE(SUM('1-zapasy'!I68,'1-zapasy'!J69,'1-zapasy'!J72)," : ",SUM('1-zapasy'!J68,'1-zapasy'!I69,'1-zapasy'!I72))</f>
        <v>0 : 0</v>
      </c>
      <c r="H92" s="409"/>
      <c r="I92" s="324" t="s">
        <v>584</v>
      </c>
    </row>
    <row r="93" spans="1:9" ht="15" customHeight="1" x14ac:dyDescent="0.2">
      <c r="A93" s="393"/>
      <c r="B93" s="240"/>
      <c r="C93" s="406"/>
      <c r="D93" s="235" t="str">
        <f>CONCATENATE('1-zapasy'!D68,",",'1-zapasy'!E68,",",'1-zapasy'!F68,",",'1-zapasy'!G68,",",'1-zapasy'!H68)</f>
        <v>,,,,</v>
      </c>
      <c r="E93" s="236"/>
      <c r="F93" s="400"/>
      <c r="G93" s="402"/>
      <c r="H93" s="404"/>
      <c r="I93" s="324" t="s">
        <v>585</v>
      </c>
    </row>
    <row r="94" spans="1:9" ht="15" customHeight="1" x14ac:dyDescent="0.2">
      <c r="A94" s="393" t="str">
        <f>'1-los'!E25</f>
        <v/>
      </c>
      <c r="B94" s="237" t="str">
        <f>CONCATENATE('1-zapasy'!I70," : ",'1-zapasy'!J70)</f>
        <v xml:space="preserve"> : </v>
      </c>
      <c r="C94" s="238" t="str">
        <f>CONCATENATE('1-zapasy'!J68," : ",'1-zapasy'!I68)</f>
        <v xml:space="preserve"> : </v>
      </c>
      <c r="D94" s="405"/>
      <c r="E94" s="239" t="str">
        <f>CONCATENATE('1-zapasy'!I71," : ",'1-zapasy'!J71)</f>
        <v xml:space="preserve"> : </v>
      </c>
      <c r="F94" s="407">
        <f>IF('1-zapasy'!J68&gt;'1-zapasy'!I68,2,IF('1-zapasy'!J68&lt;'1-zapasy'!I68,1,0))+IF('1-zapasy'!I70&gt;'1-zapasy'!J70,2,IF('1-zapasy'!I70&lt;'1-zapasy'!J70,1,0))+IF('1-zapasy'!I71&gt;'1-zapasy'!J71,2,IF('1-zapasy'!I71&lt;'1-zapasy'!J71,1,0))</f>
        <v>0</v>
      </c>
      <c r="G94" s="408" t="str">
        <f>CONCATENATE(SUM('1-zapasy'!J68,'1-zapasy'!I70,'1-zapasy'!I71)," : ",SUM('1-zapasy'!I68,'1-zapasy'!J70,'1-zapasy'!J71))</f>
        <v>0 : 0</v>
      </c>
      <c r="H94" s="409"/>
      <c r="I94" s="324" t="s">
        <v>586</v>
      </c>
    </row>
    <row r="95" spans="1:9" ht="15" customHeight="1" x14ac:dyDescent="0.2">
      <c r="A95" s="393"/>
      <c r="B95" s="240" t="str">
        <f>CONCATENATE('1-zapasy'!D70,",",'1-zapasy'!E70,",",'1-zapasy'!F70,",",'1-zapasy'!G70,",",'1-zapasy'!H70)</f>
        <v>,,,,</v>
      </c>
      <c r="C95" s="235"/>
      <c r="D95" s="406"/>
      <c r="E95" s="236" t="str">
        <f>CONCATENATE('1-zapasy'!D71,",",'1-zapasy'!E71,",",'1-zapasy'!F71,",",'1-zapasy'!G71,",",'1-zapasy'!H71)</f>
        <v>,,,,</v>
      </c>
      <c r="F95" s="400"/>
      <c r="G95" s="402"/>
      <c r="H95" s="404"/>
      <c r="I95" s="324" t="s">
        <v>587</v>
      </c>
    </row>
    <row r="96" spans="1:9" ht="15" customHeight="1" x14ac:dyDescent="0.2">
      <c r="A96" s="393" t="str">
        <f>'1-los'!E26</f>
        <v/>
      </c>
      <c r="B96" s="237" t="str">
        <f>CONCATENATE('1-zapasy'!J67," : ",'1-zapasy'!I67)</f>
        <v xml:space="preserve"> : </v>
      </c>
      <c r="C96" s="238" t="str">
        <f>CONCATENATE('1-zapasy'!I69," : ",'1-zapasy'!J69)</f>
        <v xml:space="preserve"> : </v>
      </c>
      <c r="D96" s="238" t="str">
        <f>CONCATENATE('1-zapasy'!J71," : ",'1-zapasy'!I71)</f>
        <v xml:space="preserve"> : </v>
      </c>
      <c r="E96" s="410"/>
      <c r="F96" s="407">
        <f>IF('1-zapasy'!J67&gt;'1-zapasy'!I67,2,IF('1-zapasy'!J67&lt;'1-zapasy'!I67,1,0))+IF('1-zapasy'!I69&gt;'1-zapasy'!J69,2,IF('1-zapasy'!I69&lt;'1-zapasy'!J69,1,0))+IF('1-zapasy'!J71&gt;'1-zapasy'!I71,2,IF('1-zapasy'!J71&lt;'1-zapasy'!I71,1,0))</f>
        <v>0</v>
      </c>
      <c r="G96" s="408" t="str">
        <f>CONCATENATE(SUM('1-zapasy'!J67,'1-zapasy'!I69,'1-zapasy'!J71)," : ",SUM('1-zapasy'!I67,'1-zapasy'!J69,'1-zapasy'!I71))</f>
        <v>0 : 0</v>
      </c>
      <c r="H96" s="409"/>
    </row>
    <row r="97" spans="1:9" ht="15" customHeight="1" thickBot="1" x14ac:dyDescent="0.25">
      <c r="A97" s="415"/>
      <c r="B97" s="241"/>
      <c r="C97" s="242" t="str">
        <f>CONCATENATE('1-zapasy'!D69,",",'1-zapasy'!E69,",",'1-zapasy'!F69,",",'1-zapasy'!G69,",",'1-zapasy'!H69)</f>
        <v>,,,,</v>
      </c>
      <c r="D97" s="242"/>
      <c r="E97" s="416"/>
      <c r="F97" s="417"/>
      <c r="G97" s="418"/>
      <c r="H97" s="419"/>
    </row>
    <row r="98" spans="1:9" ht="14.25" thickTop="1" thickBot="1" x14ac:dyDescent="0.25"/>
    <row r="99" spans="1:9" ht="99.6" customHeight="1" thickTop="1" x14ac:dyDescent="0.2">
      <c r="A99" s="395" t="str">
        <f>CONCATENATE(A1,"                           ",'1-los'!F22)</f>
        <v>BTM Tišnov 5.9.2021                           skupina B4</v>
      </c>
      <c r="B99" s="243" t="e">
        <f>LEFT(A101,SEARCH(" ",A101))</f>
        <v>#VALUE!</v>
      </c>
      <c r="C99" s="244" t="e">
        <f>LEFT(A103,SEARCH(" ",A103))</f>
        <v>#VALUE!</v>
      </c>
      <c r="D99" s="244" t="e">
        <f>LEFT(A105,SEARCH(" ",A105))</f>
        <v>#VALUE!</v>
      </c>
      <c r="E99" s="245" t="e">
        <f>LEFT(A107,SEARCH(" ",A107))</f>
        <v>#VALUE!</v>
      </c>
      <c r="F99" s="254" t="s">
        <v>299</v>
      </c>
      <c r="G99" s="255" t="s">
        <v>300</v>
      </c>
      <c r="H99" s="256" t="s">
        <v>517</v>
      </c>
    </row>
    <row r="100" spans="1:9" ht="9.9499999999999993" customHeight="1" thickBot="1" x14ac:dyDescent="0.25">
      <c r="A100" s="396"/>
      <c r="B100" s="230"/>
      <c r="C100" s="231"/>
      <c r="D100" s="231"/>
      <c r="E100" s="232"/>
      <c r="F100" s="257"/>
      <c r="G100" s="258"/>
      <c r="H100" s="259"/>
    </row>
    <row r="101" spans="1:9" ht="15" customHeight="1" thickTop="1" x14ac:dyDescent="0.2">
      <c r="A101" s="392" t="str">
        <f>'1-los'!G23</f>
        <v/>
      </c>
      <c r="B101" s="397"/>
      <c r="C101" s="233" t="str">
        <f>CONCATENATE('1-zapasy'!I80," : ",'1-zapasy'!J80)</f>
        <v xml:space="preserve"> : </v>
      </c>
      <c r="D101" s="233" t="str">
        <f>CONCATENATE('1-zapasy'!J78," : ",'1-zapasy'!I78)</f>
        <v xml:space="preserve"> : </v>
      </c>
      <c r="E101" s="234" t="str">
        <f>CONCATENATE('1-zapasy'!I75," : ",'1-zapasy'!J75)</f>
        <v xml:space="preserve"> : </v>
      </c>
      <c r="F101" s="399">
        <f>IF('1-zapasy'!I75&gt;'1-zapasy'!J75,2,IF('1-zapasy'!I75&lt;'1-zapasy'!J75,1,0))+IF('1-zapasy'!J78&gt;'1-zapasy'!I78,2,IF('1-zapasy'!J78&lt;'1-zapasy'!I78,1,0))+IF('1-zapasy'!I80&gt;'1-zapasy'!J80,2,IF('1-zapasy'!I80&lt;'1-zapasy'!J80,1,0))</f>
        <v>0</v>
      </c>
      <c r="G101" s="401" t="str">
        <f>CONCATENATE(SUM('1-zapasy'!I75,'1-zapasy'!J78,'1-zapasy'!I80)," : ",SUM('1-zapasy'!J75,'1-zapasy'!I78,'1-zapasy'!J80))</f>
        <v>0 : 0</v>
      </c>
      <c r="H101" s="403"/>
      <c r="I101" s="324" t="s">
        <v>582</v>
      </c>
    </row>
    <row r="102" spans="1:9" ht="15" customHeight="1" x14ac:dyDescent="0.2">
      <c r="A102" s="393"/>
      <c r="B102" s="398"/>
      <c r="C102" s="235" t="str">
        <f>CONCATENATE('1-zapasy'!D80,",",'1-zapasy'!E80,",",'1-zapasy'!F80,",",'1-zapasy'!G80,",",'1-zapasy'!H80)</f>
        <v>,,,,</v>
      </c>
      <c r="D102" s="235"/>
      <c r="E102" s="236" t="str">
        <f>CONCATENATE('1-zapasy'!D75,",",'1-zapasy'!E75,",",'1-zapasy'!F75,",",'1-zapasy'!G75,",",'1-zapasy'!H75)</f>
        <v>,,,,</v>
      </c>
      <c r="F102" s="400"/>
      <c r="G102" s="402"/>
      <c r="H102" s="404"/>
      <c r="I102" s="324" t="s">
        <v>583</v>
      </c>
    </row>
    <row r="103" spans="1:9" ht="15" customHeight="1" x14ac:dyDescent="0.2">
      <c r="A103" s="393" t="str">
        <f>'1-los'!G24</f>
        <v/>
      </c>
      <c r="B103" s="237" t="str">
        <f>CONCATENATE('1-zapasy'!J80," : ",'1-zapasy'!I80)</f>
        <v xml:space="preserve"> : </v>
      </c>
      <c r="C103" s="405"/>
      <c r="D103" s="238" t="str">
        <f>CONCATENATE('1-zapasy'!I76," : ",'1-zapasy'!J76)</f>
        <v xml:space="preserve"> : </v>
      </c>
      <c r="E103" s="239" t="str">
        <f>CONCATENATE('1-zapasy'!J77," : ",'1-zapasy'!I77)</f>
        <v xml:space="preserve"> : </v>
      </c>
      <c r="F103" s="407">
        <f>IF('1-zapasy'!I76&gt;'1-zapasy'!J76,2,IF('1-zapasy'!I76&lt;'1-zapasy'!J76,1,0))+IF('1-zapasy'!J77&gt;'1-zapasy'!I77,2,IF('1-zapasy'!J77&lt;'1-zapasy'!I77,1,0))+IF('1-zapasy'!J80&gt;'1-zapasy'!I80,2,IF('1-zapasy'!J80&lt;'1-zapasy'!I80,1,0))</f>
        <v>0</v>
      </c>
      <c r="G103" s="408" t="str">
        <f>CONCATENATE(SUM('1-zapasy'!I76,'1-zapasy'!J77,'1-zapasy'!J80)," : ",SUM('1-zapasy'!J76,'1-zapasy'!I77,'1-zapasy'!I80))</f>
        <v>0 : 0</v>
      </c>
      <c r="H103" s="409"/>
      <c r="I103" s="324" t="s">
        <v>584</v>
      </c>
    </row>
    <row r="104" spans="1:9" ht="15" customHeight="1" x14ac:dyDescent="0.2">
      <c r="A104" s="393"/>
      <c r="B104" s="240"/>
      <c r="C104" s="406"/>
      <c r="D104" s="235" t="str">
        <f>CONCATENATE('1-zapasy'!D76,",",'1-zapasy'!E76,",",'1-zapasy'!F76,",",'1-zapasy'!G76,",",'1-zapasy'!H76)</f>
        <v>,,,,</v>
      </c>
      <c r="E104" s="236"/>
      <c r="F104" s="400"/>
      <c r="G104" s="402"/>
      <c r="H104" s="404"/>
      <c r="I104" s="324" t="s">
        <v>585</v>
      </c>
    </row>
    <row r="105" spans="1:9" ht="15" customHeight="1" x14ac:dyDescent="0.2">
      <c r="A105" s="393" t="str">
        <f>'1-los'!G25</f>
        <v/>
      </c>
      <c r="B105" s="237" t="str">
        <f>CONCATENATE('1-zapasy'!I78," : ",'1-zapasy'!J78)</f>
        <v xml:space="preserve"> : </v>
      </c>
      <c r="C105" s="238" t="str">
        <f>CONCATENATE('1-zapasy'!J76," : ",'1-zapasy'!I76)</f>
        <v xml:space="preserve"> : </v>
      </c>
      <c r="D105" s="405"/>
      <c r="E105" s="239" t="str">
        <f>CONCATENATE('1-zapasy'!I79," : ",'1-zapasy'!J79)</f>
        <v xml:space="preserve"> : </v>
      </c>
      <c r="F105" s="407">
        <f>IF('1-zapasy'!J76&gt;'1-zapasy'!I76,2,IF('1-zapasy'!J76&lt;'1-zapasy'!I76,1,0))+IF('1-zapasy'!I78&gt;'1-zapasy'!J78,2,IF('1-zapasy'!I78&lt;'1-zapasy'!J78,1,0))+IF('1-zapasy'!I79&gt;'1-zapasy'!J79,2,IF('1-zapasy'!I79&lt;'1-zapasy'!J79,1,0))</f>
        <v>0</v>
      </c>
      <c r="G105" s="408" t="str">
        <f>CONCATENATE(SUM('1-zapasy'!J76,'1-zapasy'!I78,'1-zapasy'!I79)," : ",SUM('1-zapasy'!I76,'1-zapasy'!J78,'1-zapasy'!J79))</f>
        <v>0 : 0</v>
      </c>
      <c r="H105" s="409"/>
      <c r="I105" s="324" t="s">
        <v>586</v>
      </c>
    </row>
    <row r="106" spans="1:9" ht="15" customHeight="1" x14ac:dyDescent="0.2">
      <c r="A106" s="393"/>
      <c r="B106" s="240" t="str">
        <f>CONCATENATE('1-zapasy'!D78,",",'1-zapasy'!E78,",",'1-zapasy'!F78,",",'1-zapasy'!G78,",",'1-zapasy'!H78)</f>
        <v>,,,,</v>
      </c>
      <c r="C106" s="235"/>
      <c r="D106" s="406"/>
      <c r="E106" s="236" t="str">
        <f>CONCATENATE('1-zapasy'!D79,",",'1-zapasy'!E79,",",'1-zapasy'!F79,",",'1-zapasy'!G79,",",'1-zapasy'!H79)</f>
        <v>,,,,</v>
      </c>
      <c r="F106" s="400"/>
      <c r="G106" s="402"/>
      <c r="H106" s="404"/>
      <c r="I106" s="324" t="s">
        <v>587</v>
      </c>
    </row>
    <row r="107" spans="1:9" ht="15" customHeight="1" x14ac:dyDescent="0.2">
      <c r="A107" s="393" t="str">
        <f>'1-los'!G26</f>
        <v/>
      </c>
      <c r="B107" s="237" t="str">
        <f>CONCATENATE('1-zapasy'!J75," : ",'1-zapasy'!I75)</f>
        <v xml:space="preserve"> : </v>
      </c>
      <c r="C107" s="238" t="str">
        <f>CONCATENATE('1-zapasy'!I77," : ",'1-zapasy'!J77)</f>
        <v xml:space="preserve"> : </v>
      </c>
      <c r="D107" s="238" t="str">
        <f>CONCATENATE('1-zapasy'!J79," : ",'1-zapasy'!I79)</f>
        <v xml:space="preserve"> : </v>
      </c>
      <c r="E107" s="410"/>
      <c r="F107" s="407">
        <f>IF('1-zapasy'!J75&gt;'1-zapasy'!I75,2,IF('1-zapasy'!J75&lt;'1-zapasy'!I75,1,0))+IF('1-zapasy'!I77&gt;'1-zapasy'!J77,2,IF('1-zapasy'!I77&lt;'1-zapasy'!J77,1,0))+IF('1-zapasy'!J79&gt;'1-zapasy'!I79,2,IF('1-zapasy'!J79&lt;'1-zapasy'!I79,1,0))</f>
        <v>0</v>
      </c>
      <c r="G107" s="408" t="str">
        <f>CONCATENATE(SUM('1-zapasy'!J75,'1-zapasy'!I77,'1-zapasy'!J79)," : ",SUM('1-zapasy'!I75,'1-zapasy'!J77,'1-zapasy'!I79))</f>
        <v>0 : 0</v>
      </c>
      <c r="H107" s="409"/>
    </row>
    <row r="108" spans="1:9" ht="15" customHeight="1" thickBot="1" x14ac:dyDescent="0.25">
      <c r="A108" s="415"/>
      <c r="B108" s="241"/>
      <c r="C108" s="242" t="str">
        <f>CONCATENATE('1-zapasy'!D77,",",'1-zapasy'!E77,",",'1-zapasy'!F77,",",'1-zapasy'!G77,",",'1-zapasy'!H77)</f>
        <v>,,,,</v>
      </c>
      <c r="D108" s="242"/>
      <c r="E108" s="416"/>
      <c r="F108" s="417"/>
      <c r="G108" s="418"/>
      <c r="H108" s="419"/>
    </row>
    <row r="109" spans="1:9" ht="14.25" thickTop="1" thickBot="1" x14ac:dyDescent="0.25"/>
    <row r="110" spans="1:9" ht="99.6" customHeight="1" thickTop="1" x14ac:dyDescent="0.2">
      <c r="A110" s="395" t="str">
        <f>CONCATENATE(A1,"                           ",'1-los'!D27)</f>
        <v>BTM Tišnov 5.9.2021                           skupina B5</v>
      </c>
      <c r="B110" s="243" t="e">
        <f>LEFT(A112,SEARCH(" ",A112))</f>
        <v>#VALUE!</v>
      </c>
      <c r="C110" s="244" t="e">
        <f>LEFT(A114,SEARCH(" ",A114))</f>
        <v>#VALUE!</v>
      </c>
      <c r="D110" s="244" t="e">
        <f>LEFT(A116,SEARCH(" ",A116))</f>
        <v>#VALUE!</v>
      </c>
      <c r="E110" s="245" t="e">
        <f>LEFT(A118,SEARCH(" ",A118))</f>
        <v>#VALUE!</v>
      </c>
      <c r="F110" s="254" t="s">
        <v>299</v>
      </c>
      <c r="G110" s="255" t="s">
        <v>300</v>
      </c>
      <c r="H110" s="256" t="s">
        <v>517</v>
      </c>
    </row>
    <row r="111" spans="1:9" ht="9.9499999999999993" customHeight="1" thickBot="1" x14ac:dyDescent="0.25">
      <c r="A111" s="396"/>
      <c r="B111" s="230"/>
      <c r="C111" s="231"/>
      <c r="D111" s="231"/>
      <c r="E111" s="232"/>
      <c r="F111" s="257"/>
      <c r="G111" s="258"/>
      <c r="H111" s="259"/>
    </row>
    <row r="112" spans="1:9" ht="15" customHeight="1" thickTop="1" x14ac:dyDescent="0.2">
      <c r="A112" s="392" t="str">
        <f>'1-los'!E28</f>
        <v/>
      </c>
      <c r="B112" s="397"/>
      <c r="C112" s="233" t="str">
        <f>CONCATENATE('1-zapasy'!I88," : ",'1-zapasy'!J88)</f>
        <v xml:space="preserve"> : </v>
      </c>
      <c r="D112" s="233" t="str">
        <f>CONCATENATE('1-zapasy'!J86," : ",'1-zapasy'!I86)</f>
        <v xml:space="preserve"> : </v>
      </c>
      <c r="E112" s="234" t="str">
        <f>CONCATENATE('1-zapasy'!I83," : ",'1-zapasy'!J83)</f>
        <v xml:space="preserve"> : </v>
      </c>
      <c r="F112" s="399">
        <f>IF('1-zapasy'!I83&gt;'1-zapasy'!J83,2,IF('1-zapasy'!I83&lt;'1-zapasy'!J83,1,0))+IF('1-zapasy'!J86&gt;'1-zapasy'!I86,2,IF('1-zapasy'!J86&lt;'1-zapasy'!I86,1,0))+IF('1-zapasy'!I88&gt;'1-zapasy'!J88,2,IF('1-zapasy'!I88&lt;'1-zapasy'!J88,1,0))</f>
        <v>0</v>
      </c>
      <c r="G112" s="401" t="str">
        <f>CONCATENATE(SUM('1-zapasy'!I83,'1-zapasy'!J86,'1-zapasy'!I88)," : ",SUM('1-zapasy'!J83,'1-zapasy'!I86,'1-zapasy'!J88))</f>
        <v>0 : 0</v>
      </c>
      <c r="H112" s="403"/>
      <c r="I112" s="324" t="s">
        <v>582</v>
      </c>
    </row>
    <row r="113" spans="1:9" ht="15" customHeight="1" x14ac:dyDescent="0.2">
      <c r="A113" s="393"/>
      <c r="B113" s="398"/>
      <c r="C113" s="235" t="str">
        <f>CONCATENATE('1-zapasy'!D88,",",'1-zapasy'!E88,",",'1-zapasy'!F88,",",'1-zapasy'!G88,",",'1-zapasy'!H88)</f>
        <v>,,,,</v>
      </c>
      <c r="D113" s="235"/>
      <c r="E113" s="236" t="str">
        <f>CONCATENATE('1-zapasy'!D83,",",'1-zapasy'!E83,",",'1-zapasy'!F83,",",'1-zapasy'!G83,",",'1-zapasy'!H83)</f>
        <v>,,,,</v>
      </c>
      <c r="F113" s="400"/>
      <c r="G113" s="402"/>
      <c r="H113" s="404"/>
      <c r="I113" s="324" t="s">
        <v>583</v>
      </c>
    </row>
    <row r="114" spans="1:9" ht="15" customHeight="1" x14ac:dyDescent="0.2">
      <c r="A114" s="393" t="str">
        <f>'1-los'!E29</f>
        <v/>
      </c>
      <c r="B114" s="237" t="str">
        <f>CONCATENATE('1-zapasy'!J88," : ",'1-zapasy'!I88)</f>
        <v xml:space="preserve"> : </v>
      </c>
      <c r="C114" s="405"/>
      <c r="D114" s="238" t="str">
        <f>CONCATENATE('1-zapasy'!I84," : ",'1-zapasy'!J84)</f>
        <v xml:space="preserve"> : </v>
      </c>
      <c r="E114" s="239" t="str">
        <f>CONCATENATE('1-zapasy'!J85," : ",'1-zapasy'!I85)</f>
        <v xml:space="preserve"> : </v>
      </c>
      <c r="F114" s="407">
        <f>IF('1-zapasy'!I84&gt;'1-zapasy'!J84,2,IF('1-zapasy'!I84&lt;'1-zapasy'!J84,1,0))+IF('1-zapasy'!J85&gt;'1-zapasy'!I85,2,IF('1-zapasy'!J85&lt;'1-zapasy'!I85,1,0))+IF('1-zapasy'!J88&gt;'1-zapasy'!I88,2,IF('1-zapasy'!J88&lt;'1-zapasy'!I88,1,0))</f>
        <v>0</v>
      </c>
      <c r="G114" s="408" t="str">
        <f>CONCATENATE(SUM('1-zapasy'!I84,'1-zapasy'!J85,'1-zapasy'!J88)," : ",SUM('1-zapasy'!J84,'1-zapasy'!I85,'1-zapasy'!I88))</f>
        <v>0 : 0</v>
      </c>
      <c r="H114" s="409"/>
      <c r="I114" s="324" t="s">
        <v>584</v>
      </c>
    </row>
    <row r="115" spans="1:9" ht="15" customHeight="1" x14ac:dyDescent="0.2">
      <c r="A115" s="393"/>
      <c r="B115" s="240"/>
      <c r="C115" s="406"/>
      <c r="D115" s="235" t="str">
        <f>CONCATENATE('1-zapasy'!D84,",",'1-zapasy'!E84,",",'1-zapasy'!F84,",",'1-zapasy'!G84,",",'1-zapasy'!H84)</f>
        <v>,,,,</v>
      </c>
      <c r="E115" s="236"/>
      <c r="F115" s="400"/>
      <c r="G115" s="402"/>
      <c r="H115" s="404"/>
      <c r="I115" s="324" t="s">
        <v>585</v>
      </c>
    </row>
    <row r="116" spans="1:9" ht="15" customHeight="1" x14ac:dyDescent="0.2">
      <c r="A116" s="393" t="str">
        <f>'1-los'!E30</f>
        <v/>
      </c>
      <c r="B116" s="237" t="str">
        <f>CONCATENATE('1-zapasy'!I86," : ",'1-zapasy'!J86)</f>
        <v xml:space="preserve"> : </v>
      </c>
      <c r="C116" s="238" t="str">
        <f>CONCATENATE('1-zapasy'!J84," : ",'1-zapasy'!I84)</f>
        <v xml:space="preserve"> : </v>
      </c>
      <c r="D116" s="405"/>
      <c r="E116" s="239" t="str">
        <f>CONCATENATE('1-zapasy'!I87," : ",'1-zapasy'!J87)</f>
        <v xml:space="preserve"> : </v>
      </c>
      <c r="F116" s="407">
        <f>IF('1-zapasy'!J84&gt;'1-zapasy'!I84,2,IF('1-zapasy'!J84&lt;'1-zapasy'!I84,1,0))+IF('1-zapasy'!I86&gt;'1-zapasy'!J86,2,IF('1-zapasy'!I86&lt;'1-zapasy'!J86,1,0))+IF('1-zapasy'!I87&gt;'1-zapasy'!J87,2,IF('1-zapasy'!I87&lt;'1-zapasy'!J87,1,0))</f>
        <v>0</v>
      </c>
      <c r="G116" s="408" t="str">
        <f>CONCATENATE(SUM('1-zapasy'!J84,'1-zapasy'!I86,'1-zapasy'!I87)," : ",SUM('1-zapasy'!I84,'1-zapasy'!J86,'1-zapasy'!J87))</f>
        <v>0 : 0</v>
      </c>
      <c r="H116" s="409"/>
      <c r="I116" s="324" t="s">
        <v>586</v>
      </c>
    </row>
    <row r="117" spans="1:9" ht="15" customHeight="1" x14ac:dyDescent="0.2">
      <c r="A117" s="393"/>
      <c r="B117" s="240" t="str">
        <f>CONCATENATE('1-zapasy'!D86,",",'1-zapasy'!E86,",",'1-zapasy'!F86,",",'1-zapasy'!G86,",",'1-zapasy'!H86)</f>
        <v>,,,,</v>
      </c>
      <c r="C117" s="235"/>
      <c r="D117" s="406"/>
      <c r="E117" s="236" t="str">
        <f>CONCATENATE('1-zapasy'!D87,",",'1-zapasy'!E87,",",'1-zapasy'!F87,",",'1-zapasy'!G87,",",'1-zapasy'!H87)</f>
        <v>,,,,</v>
      </c>
      <c r="F117" s="400"/>
      <c r="G117" s="402"/>
      <c r="H117" s="404"/>
      <c r="I117" s="324" t="s">
        <v>587</v>
      </c>
    </row>
    <row r="118" spans="1:9" ht="15" customHeight="1" x14ac:dyDescent="0.2">
      <c r="A118" s="393" t="str">
        <f>'1-los'!E31</f>
        <v/>
      </c>
      <c r="B118" s="237" t="str">
        <f>CONCATENATE('1-zapasy'!J83," : ",'1-zapasy'!I83)</f>
        <v xml:space="preserve"> : </v>
      </c>
      <c r="C118" s="238" t="str">
        <f>CONCATENATE('1-zapasy'!I85," : ",'1-zapasy'!J85)</f>
        <v xml:space="preserve"> : </v>
      </c>
      <c r="D118" s="238" t="str">
        <f>CONCATENATE('1-zapasy'!J87," : ",'1-zapasy'!I87)</f>
        <v xml:space="preserve"> : </v>
      </c>
      <c r="E118" s="410"/>
      <c r="F118" s="407">
        <f>IF('1-zapasy'!J83&gt;'1-zapasy'!I83,2,IF('1-zapasy'!J83&lt;'1-zapasy'!I83,1,0))+IF('1-zapasy'!I85&gt;'1-zapasy'!J85,2,IF('1-zapasy'!I85&lt;'1-zapasy'!J85,1,0))+IF('1-zapasy'!J87&gt;'1-zapasy'!I87,2,IF('1-zapasy'!J87&lt;'1-zapasy'!I87,1,0))</f>
        <v>0</v>
      </c>
      <c r="G118" s="408" t="str">
        <f>CONCATENATE(SUM('1-zapasy'!J83,'1-zapasy'!I85,'1-zapasy'!J87)," : ",SUM('1-zapasy'!I83,'1-zapasy'!J85,'1-zapasy'!I87))</f>
        <v>0 : 0</v>
      </c>
      <c r="H118" s="409"/>
    </row>
    <row r="119" spans="1:9" ht="15" customHeight="1" thickBot="1" x14ac:dyDescent="0.25">
      <c r="A119" s="415"/>
      <c r="B119" s="241"/>
      <c r="C119" s="242" t="str">
        <f>CONCATENATE('1-zapasy'!D85,",",'1-zapasy'!E85,",",'1-zapasy'!F85,",",'1-zapasy'!G85,",",'1-zapasy'!H85)</f>
        <v>,,,,</v>
      </c>
      <c r="D119" s="242"/>
      <c r="E119" s="416"/>
      <c r="F119" s="417"/>
      <c r="G119" s="418"/>
      <c r="H119" s="419"/>
    </row>
    <row r="120" spans="1:9" ht="14.25" thickTop="1" thickBot="1" x14ac:dyDescent="0.25"/>
    <row r="121" spans="1:9" ht="99.6" customHeight="1" thickTop="1" x14ac:dyDescent="0.2">
      <c r="A121" s="395" t="str">
        <f>CONCATENATE(A1,"                           ",'1-los'!F27)</f>
        <v>BTM Tišnov 5.9.2021                           skupina B6</v>
      </c>
      <c r="B121" s="243" t="e">
        <f>LEFT(A123,SEARCH(" ",A123))</f>
        <v>#VALUE!</v>
      </c>
      <c r="C121" s="244" t="e">
        <f>LEFT(A125,SEARCH(" ",A125))</f>
        <v>#VALUE!</v>
      </c>
      <c r="D121" s="244" t="e">
        <f>LEFT(A127,SEARCH(" ",A127))</f>
        <v>#VALUE!</v>
      </c>
      <c r="E121" s="245" t="e">
        <f>LEFT(A129,SEARCH(" ",A129))</f>
        <v>#VALUE!</v>
      </c>
      <c r="F121" s="254" t="s">
        <v>299</v>
      </c>
      <c r="G121" s="255" t="s">
        <v>300</v>
      </c>
      <c r="H121" s="256" t="s">
        <v>517</v>
      </c>
    </row>
    <row r="122" spans="1:9" ht="9.9499999999999993" customHeight="1" thickBot="1" x14ac:dyDescent="0.25">
      <c r="A122" s="396"/>
      <c r="B122" s="230"/>
      <c r="C122" s="231"/>
      <c r="D122" s="231"/>
      <c r="E122" s="232"/>
      <c r="F122" s="257"/>
      <c r="G122" s="258"/>
      <c r="H122" s="259"/>
    </row>
    <row r="123" spans="1:9" ht="15" customHeight="1" thickTop="1" x14ac:dyDescent="0.2">
      <c r="A123" s="392" t="str">
        <f>'1-los'!G28</f>
        <v/>
      </c>
      <c r="B123" s="397"/>
      <c r="C123" s="233" t="str">
        <f>CONCATENATE('1-zapasy'!I96," : ",'1-zapasy'!J96)</f>
        <v xml:space="preserve"> : </v>
      </c>
      <c r="D123" s="233" t="str">
        <f>CONCATENATE('1-zapasy'!J94," : ",'1-zapasy'!I94)</f>
        <v xml:space="preserve"> : </v>
      </c>
      <c r="E123" s="234" t="str">
        <f>CONCATENATE('1-zapasy'!I91," : ",'1-zapasy'!J91)</f>
        <v xml:space="preserve"> : </v>
      </c>
      <c r="F123" s="399">
        <f>IF('1-zapasy'!I91&gt;'1-zapasy'!J91,2,IF('1-zapasy'!I91&lt;'1-zapasy'!J91,1,0))+IF('1-zapasy'!J94&gt;'1-zapasy'!I94,2,IF('1-zapasy'!J94&lt;'1-zapasy'!I94,1,0))+IF('1-zapasy'!I96&gt;'1-zapasy'!J96,2,IF('1-zapasy'!I96&lt;'1-zapasy'!J96,1,0))</f>
        <v>0</v>
      </c>
      <c r="G123" s="401" t="str">
        <f>CONCATENATE(SUM('1-zapasy'!I91,'1-zapasy'!J94,'1-zapasy'!I96)," : ",SUM('1-zapasy'!J91,'1-zapasy'!I94,'1-zapasy'!J96))</f>
        <v>0 : 0</v>
      </c>
      <c r="H123" s="403"/>
      <c r="I123" s="324" t="s">
        <v>582</v>
      </c>
    </row>
    <row r="124" spans="1:9" ht="15" customHeight="1" x14ac:dyDescent="0.2">
      <c r="A124" s="393"/>
      <c r="B124" s="398"/>
      <c r="C124" s="235" t="str">
        <f>CONCATENATE('1-zapasy'!D96,",",'1-zapasy'!E96,",",'1-zapasy'!F96,",",'1-zapasy'!G96,",",'1-zapasy'!H96)</f>
        <v>,,,,</v>
      </c>
      <c r="D124" s="235"/>
      <c r="E124" s="236" t="str">
        <f>CONCATENATE('1-zapasy'!D91,",",'1-zapasy'!E91,",",'1-zapasy'!F91,",",'1-zapasy'!G91,",",'1-zapasy'!H91)</f>
        <v>,,,,</v>
      </c>
      <c r="F124" s="400"/>
      <c r="G124" s="402"/>
      <c r="H124" s="404"/>
      <c r="I124" s="324" t="s">
        <v>583</v>
      </c>
    </row>
    <row r="125" spans="1:9" ht="15" customHeight="1" x14ac:dyDescent="0.2">
      <c r="A125" s="393" t="str">
        <f>'1-los'!G29</f>
        <v/>
      </c>
      <c r="B125" s="237" t="str">
        <f>CONCATENATE('1-zapasy'!J96," : ",'1-zapasy'!I96)</f>
        <v xml:space="preserve"> : </v>
      </c>
      <c r="C125" s="405"/>
      <c r="D125" s="238" t="str">
        <f>CONCATENATE('1-zapasy'!I92," : ",'1-zapasy'!J92)</f>
        <v xml:space="preserve"> : </v>
      </c>
      <c r="E125" s="239" t="str">
        <f>CONCATENATE('1-zapasy'!J93," : ",'1-zapasy'!I93)</f>
        <v xml:space="preserve"> : </v>
      </c>
      <c r="F125" s="407">
        <f>IF('1-zapasy'!I92&gt;'1-zapasy'!J92,2,IF('1-zapasy'!I92&lt;'1-zapasy'!J92,1,0))+IF('1-zapasy'!J93&gt;'1-zapasy'!I93,2,IF('1-zapasy'!J93&lt;'1-zapasy'!I93,1,0))+IF('1-zapasy'!J96&gt;'1-zapasy'!I96,2,IF('1-zapasy'!J96&lt;'1-zapasy'!I96,1,0))</f>
        <v>0</v>
      </c>
      <c r="G125" s="408" t="str">
        <f>CONCATENATE(SUM('1-zapasy'!I92,'1-zapasy'!J93,'1-zapasy'!J96)," : ",SUM('1-zapasy'!J92,'1-zapasy'!I93,'1-zapasy'!I96))</f>
        <v>0 : 0</v>
      </c>
      <c r="H125" s="409"/>
      <c r="I125" s="324" t="s">
        <v>584</v>
      </c>
    </row>
    <row r="126" spans="1:9" ht="15" customHeight="1" x14ac:dyDescent="0.2">
      <c r="A126" s="393"/>
      <c r="B126" s="240"/>
      <c r="C126" s="406"/>
      <c r="D126" s="235" t="str">
        <f>CONCATENATE('1-zapasy'!D92,",",'1-zapasy'!E92,",",'1-zapasy'!F92,",",'1-zapasy'!G92,",",'1-zapasy'!H92)</f>
        <v>,,,,</v>
      </c>
      <c r="E126" s="236"/>
      <c r="F126" s="400"/>
      <c r="G126" s="402"/>
      <c r="H126" s="404"/>
      <c r="I126" s="324" t="s">
        <v>585</v>
      </c>
    </row>
    <row r="127" spans="1:9" ht="15" customHeight="1" x14ac:dyDescent="0.2">
      <c r="A127" s="393" t="str">
        <f>'1-los'!G30</f>
        <v/>
      </c>
      <c r="B127" s="237" t="str">
        <f>CONCATENATE('1-zapasy'!I94," : ",'1-zapasy'!J94)</f>
        <v xml:space="preserve"> : </v>
      </c>
      <c r="C127" s="238" t="str">
        <f>CONCATENATE('1-zapasy'!J92," : ",'1-zapasy'!I92)</f>
        <v xml:space="preserve"> : </v>
      </c>
      <c r="D127" s="405"/>
      <c r="E127" s="239" t="str">
        <f>CONCATENATE('1-zapasy'!I95," : ",'1-zapasy'!J95)</f>
        <v xml:space="preserve"> : </v>
      </c>
      <c r="F127" s="407">
        <f>IF('1-zapasy'!J92&gt;'1-zapasy'!I92,2,IF('1-zapasy'!J92&lt;'1-zapasy'!I92,1,0))+IF('1-zapasy'!I94&gt;'1-zapasy'!J94,2,IF('1-zapasy'!I94&lt;'1-zapasy'!J94,1,0))+IF('1-zapasy'!I95&gt;'1-zapasy'!J95,2,IF('1-zapasy'!I95&lt;'1-zapasy'!J95,1,0))</f>
        <v>0</v>
      </c>
      <c r="G127" s="408" t="str">
        <f>CONCATENATE(SUM('1-zapasy'!J92,'1-zapasy'!I94,'1-zapasy'!I95)," : ",SUM('1-zapasy'!I92,'1-zapasy'!J94,'1-zapasy'!J95))</f>
        <v>0 : 0</v>
      </c>
      <c r="H127" s="409"/>
      <c r="I127" s="324" t="s">
        <v>586</v>
      </c>
    </row>
    <row r="128" spans="1:9" ht="15" customHeight="1" x14ac:dyDescent="0.2">
      <c r="A128" s="393"/>
      <c r="B128" s="240" t="str">
        <f>CONCATENATE('1-zapasy'!D94,",",'1-zapasy'!E94,",",'1-zapasy'!F94,",",'1-zapasy'!G94,",",'1-zapasy'!H94)</f>
        <v>,,,,</v>
      </c>
      <c r="C128" s="235"/>
      <c r="D128" s="406"/>
      <c r="E128" s="236" t="str">
        <f>CONCATENATE('1-zapasy'!D95,",",'1-zapasy'!E95,",",'1-zapasy'!F95,",",'1-zapasy'!G95,",",'1-zapasy'!H95)</f>
        <v>,,,,</v>
      </c>
      <c r="F128" s="400"/>
      <c r="G128" s="402"/>
      <c r="H128" s="404"/>
      <c r="I128" s="324" t="s">
        <v>587</v>
      </c>
    </row>
    <row r="129" spans="1:8" ht="15" customHeight="1" x14ac:dyDescent="0.2">
      <c r="A129" s="393" t="str">
        <f>'1-los'!G31</f>
        <v/>
      </c>
      <c r="B129" s="237" t="str">
        <f>CONCATENATE('1-zapasy'!J91," : ",'1-zapasy'!I91)</f>
        <v xml:space="preserve"> : </v>
      </c>
      <c r="C129" s="238" t="str">
        <f>CONCATENATE('1-zapasy'!I93," : ",'1-zapasy'!J93)</f>
        <v xml:space="preserve"> : </v>
      </c>
      <c r="D129" s="238" t="str">
        <f>CONCATENATE('1-zapasy'!J95," : ",'1-zapasy'!I95)</f>
        <v xml:space="preserve"> : </v>
      </c>
      <c r="E129" s="410"/>
      <c r="F129" s="407">
        <f>IF('1-zapasy'!J91&gt;'1-zapasy'!I91,2,IF('1-zapasy'!J91&lt;'1-zapasy'!I91,1,0))+IF('1-zapasy'!I93&gt;'1-zapasy'!J93,2,IF('1-zapasy'!I93&lt;'1-zapasy'!J93,1,0))+IF('1-zapasy'!J95&gt;'1-zapasy'!I95,2,IF('1-zapasy'!J95&lt;'1-zapasy'!I95,1,0))</f>
        <v>0</v>
      </c>
      <c r="G129" s="408" t="str">
        <f>CONCATENATE(SUM('1-zapasy'!J91,'1-zapasy'!I93,'1-zapasy'!J95)," : ",SUM('1-zapasy'!I91,'1-zapasy'!J93,'1-zapasy'!I95))</f>
        <v>0 : 0</v>
      </c>
      <c r="H129" s="409"/>
    </row>
    <row r="130" spans="1:8" ht="15" customHeight="1" thickBot="1" x14ac:dyDescent="0.25">
      <c r="A130" s="415"/>
      <c r="B130" s="241"/>
      <c r="C130" s="242" t="str">
        <f>CONCATENATE('1-zapasy'!D93,",",'1-zapasy'!E93,",",'1-zapasy'!F93,",",'1-zapasy'!G93,",",'1-zapasy'!H93)</f>
        <v>,,,,</v>
      </c>
      <c r="D130" s="242"/>
      <c r="E130" s="416"/>
      <c r="F130" s="417"/>
      <c r="G130" s="418"/>
      <c r="H130" s="419"/>
    </row>
    <row r="131" spans="1:8" ht="15" customHeight="1" thickTop="1" thickBot="1" x14ac:dyDescent="0.25"/>
    <row r="132" spans="1:8" ht="99.6" customHeight="1" thickTop="1" x14ac:dyDescent="0.2">
      <c r="A132" s="395" t="str">
        <f>CONCATENATE(A1,"                           ",'1-los'!D32)</f>
        <v>BTM Tišnov 5.9.2021                           skupina B7</v>
      </c>
      <c r="B132" s="243" t="e">
        <f>LEFT(A134,SEARCH(" ",A134))</f>
        <v>#VALUE!</v>
      </c>
      <c r="C132" s="244" t="e">
        <f>LEFT(A136,SEARCH(" ",A136))</f>
        <v>#VALUE!</v>
      </c>
      <c r="D132" s="244" t="e">
        <f>LEFT(A138,SEARCH(" ",A138))</f>
        <v>#VALUE!</v>
      </c>
      <c r="E132" s="245" t="e">
        <f>LEFT(A140,SEARCH(" ",A140))</f>
        <v>#VALUE!</v>
      </c>
      <c r="F132" s="254" t="s">
        <v>299</v>
      </c>
      <c r="G132" s="255" t="s">
        <v>300</v>
      </c>
      <c r="H132" s="256"/>
    </row>
    <row r="133" spans="1:8" ht="14.45" customHeight="1" thickBot="1" x14ac:dyDescent="0.25">
      <c r="A133" s="421"/>
      <c r="B133" s="230"/>
      <c r="C133" s="231"/>
      <c r="D133" s="231"/>
      <c r="E133" s="232"/>
      <c r="F133" s="257"/>
      <c r="G133" s="258"/>
      <c r="H133" s="259"/>
    </row>
    <row r="134" spans="1:8" ht="16.5" customHeight="1" thickTop="1" x14ac:dyDescent="0.2">
      <c r="A134" s="424" t="str">
        <f>'1-los'!E33</f>
        <v/>
      </c>
      <c r="B134" s="397"/>
      <c r="C134" s="233" t="str">
        <f>CONCATENATE('1-zapasy'!I104," : ",'1-zapasy'!J104)</f>
        <v xml:space="preserve"> : </v>
      </c>
      <c r="D134" s="233" t="str">
        <f>CONCATENATE('1-zapasy'!J102," : ",'1-zapasy'!I102)</f>
        <v xml:space="preserve"> : </v>
      </c>
      <c r="E134" s="234" t="str">
        <f>CONCATENATE('1-zapasy'!I99," : ",'1-zapasy'!J99)</f>
        <v xml:space="preserve"> : </v>
      </c>
      <c r="F134" s="399">
        <f>IF('1-zapasy'!I99&gt;'1-zapasy'!J99,2,IF('1-zapasy'!I99&lt;'1-zapasy'!J99,1,0))+IF('1-zapasy'!J102&gt;'1-zapasy'!I102,2,IF('1-zapasy'!J102&lt;'1-zapasy'!I102,1,0))+IF('1-zapasy'!I104&gt;'1-zapasy'!J104,2,IF('1-zapasy'!I104&lt;'1-zapasy'!J104,1,0))</f>
        <v>0</v>
      </c>
      <c r="G134" s="401" t="str">
        <f>CONCATENATE(SUM('1-zapasy'!I99,'1-zapasy'!J102,'1-zapasy'!I104)," : ",SUM('1-zapasy'!J99,'1-zapasy'!I102,'1-zapasy'!J104))</f>
        <v>0 : 0</v>
      </c>
      <c r="H134" s="403"/>
    </row>
    <row r="135" spans="1:8" ht="12.75" customHeight="1" x14ac:dyDescent="0.2">
      <c r="A135" s="423"/>
      <c r="B135" s="398"/>
      <c r="C135" s="235" t="str">
        <f>CONCATENATE('1-zapasy'!D104,",",'1-zapasy'!E104,",",'1-zapasy'!F104,",",'1-zapasy'!G104,",",'1-zapasy'!H104)</f>
        <v>,,,,</v>
      </c>
      <c r="D135" s="235"/>
      <c r="E135" s="236" t="str">
        <f>CONCATENATE('1-zapasy'!D99,",",'1-zapasy'!E99,",",'1-zapasy'!F99,",",'1-zapasy'!G99,",",'1-zapasy'!H99)</f>
        <v>,,,,</v>
      </c>
      <c r="F135" s="400"/>
      <c r="G135" s="402"/>
      <c r="H135" s="404"/>
    </row>
    <row r="136" spans="1:8" ht="15.75" customHeight="1" x14ac:dyDescent="0.2">
      <c r="A136" s="420" t="str">
        <f>'1-los'!E34</f>
        <v/>
      </c>
      <c r="B136" s="237" t="str">
        <f>CONCATENATE('1-zapasy'!J104," : ",'1-zapasy'!I104)</f>
        <v xml:space="preserve"> : </v>
      </c>
      <c r="C136" s="405"/>
      <c r="D136" s="238" t="str">
        <f>CONCATENATE('1-zapasy'!I100," : ",'1-zapasy'!J100)</f>
        <v xml:space="preserve"> : </v>
      </c>
      <c r="E136" s="239" t="str">
        <f>CONCATENATE('1-zapasy'!J101," : ",'1-zapasy'!I101)</f>
        <v xml:space="preserve"> : </v>
      </c>
      <c r="F136" s="407">
        <f>IF('1-zapasy'!I100&gt;'1-zapasy'!J100,2,IF('1-zapasy'!I100&lt;'1-zapasy'!J100,1,0))+IF('1-zapasy'!J101&gt;'1-zapasy'!I101,2,IF('1-zapasy'!J101&lt;'1-zapasy'!I101,1,0))+IF('1-zapasy'!J104&gt;'1-zapasy'!I104,2,IF('1-zapasy'!J104&lt;'1-zapasy'!I104,1,0))</f>
        <v>0</v>
      </c>
      <c r="G136" s="408" t="str">
        <f>CONCATENATE(SUM('1-zapasy'!I100,'1-zapasy'!J101,'1-zapasy'!J104)," : ",SUM('1-zapasy'!J100,'1-zapasy'!I101,'1-zapasy'!I104))</f>
        <v>0 : 0</v>
      </c>
      <c r="H136" s="409"/>
    </row>
    <row r="137" spans="1:8" ht="12.75" customHeight="1" x14ac:dyDescent="0.2">
      <c r="A137" s="423"/>
      <c r="B137" s="240"/>
      <c r="C137" s="406"/>
      <c r="D137" s="235" t="str">
        <f>CONCATENATE('1-zapasy'!D100,",",'1-zapasy'!E100,",",'1-zapasy'!F100,",",'1-zapasy'!G100,",",'1-zapasy'!H100)</f>
        <v>,,,,</v>
      </c>
      <c r="E137" s="236"/>
      <c r="F137" s="400"/>
      <c r="G137" s="402"/>
      <c r="H137" s="404"/>
    </row>
    <row r="138" spans="1:8" ht="15.75" customHeight="1" x14ac:dyDescent="0.2">
      <c r="A138" s="420" t="str">
        <f>'1-los'!E35</f>
        <v/>
      </c>
      <c r="B138" s="237" t="str">
        <f>CONCATENATE('1-zapasy'!I102," : ",'1-zapasy'!J102)</f>
        <v xml:space="preserve"> : </v>
      </c>
      <c r="C138" s="238" t="str">
        <f>CONCATENATE('1-zapasy'!J100," : ",'1-zapasy'!I100)</f>
        <v xml:space="preserve"> : </v>
      </c>
      <c r="D138" s="405"/>
      <c r="E138" s="239" t="str">
        <f>CONCATENATE('1-zapasy'!I103," : ",'1-zapasy'!J103)</f>
        <v xml:space="preserve"> : </v>
      </c>
      <c r="F138" s="407">
        <f>IF('1-zapasy'!J100&gt;'1-zapasy'!I100,2,IF('1-zapasy'!J100&lt;'1-zapasy'!I100,1,0))+IF('1-zapasy'!I102&gt;'1-zapasy'!J102,2,IF('1-zapasy'!I102&lt;'1-zapasy'!J102,1,0))+IF('1-zapasy'!I103&gt;'1-zapasy'!J103,2,IF('1-zapasy'!I103&lt;'1-zapasy'!J103,1,0))</f>
        <v>0</v>
      </c>
      <c r="G138" s="408" t="str">
        <f>CONCATENATE(SUM('1-zapasy'!J100,'1-zapasy'!I102,'1-zapasy'!I103)," : ",SUM('1-zapasy'!I100,'1-zapasy'!J102,'1-zapasy'!J103))</f>
        <v>0 : 0</v>
      </c>
      <c r="H138" s="409"/>
    </row>
    <row r="139" spans="1:8" ht="12.75" customHeight="1" x14ac:dyDescent="0.2">
      <c r="A139" s="423"/>
      <c r="B139" s="240" t="str">
        <f>CONCATENATE('1-zapasy'!D102,",",'1-zapasy'!E102,",",'1-zapasy'!F102,",",'1-zapasy'!G102,",",'1-zapasy'!H102)</f>
        <v>,,,,</v>
      </c>
      <c r="C139" s="235"/>
      <c r="D139" s="406"/>
      <c r="E139" s="236" t="str">
        <f>CONCATENATE('1-zapasy'!D103,",",'1-zapasy'!E103,",",'1-zapasy'!F103,",",'1-zapasy'!G103,",",'1-zapasy'!H103)</f>
        <v>,,,,</v>
      </c>
      <c r="F139" s="400"/>
      <c r="G139" s="402"/>
      <c r="H139" s="404"/>
    </row>
    <row r="140" spans="1:8" ht="15.75" customHeight="1" x14ac:dyDescent="0.2">
      <c r="A140" s="420" t="str">
        <f>'1-los'!E36</f>
        <v/>
      </c>
      <c r="B140" s="237" t="str">
        <f>CONCATENATE('1-zapasy'!J99," : ",'1-zapasy'!I99)</f>
        <v xml:space="preserve"> : </v>
      </c>
      <c r="C140" s="238" t="str">
        <f>CONCATENATE('1-zapasy'!I101," : ",'1-zapasy'!J101)</f>
        <v xml:space="preserve"> : </v>
      </c>
      <c r="D140" s="238" t="str">
        <f>CONCATENATE('1-zapasy'!J103," : ",'1-zapasy'!I103)</f>
        <v xml:space="preserve"> : </v>
      </c>
      <c r="E140" s="410"/>
      <c r="F140" s="407">
        <f>IF('1-zapasy'!J99&gt;'1-zapasy'!I99,2,IF('1-zapasy'!J99&lt;'1-zapasy'!I99,1,0))+IF('1-zapasy'!I101&gt;'1-zapasy'!J101,2,IF('1-zapasy'!I101&lt;'1-zapasy'!J101,1,0))+IF('1-zapasy'!J103&gt;'1-zapasy'!I103,2,IF('1-zapasy'!J103&lt;'1-zapasy'!I103,1,0))</f>
        <v>0</v>
      </c>
      <c r="G140" s="408" t="str">
        <f>CONCATENATE(SUM('1-zapasy'!J99,'1-zapasy'!I101,'1-zapasy'!J103)," : ",SUM('1-zapasy'!I99,'1-zapasy'!J101,'1-zapasy'!I103))</f>
        <v>0 : 0</v>
      </c>
      <c r="H140" s="409"/>
    </row>
    <row r="141" spans="1:8" ht="13.5" customHeight="1" thickBot="1" x14ac:dyDescent="0.25">
      <c r="A141" s="422"/>
      <c r="B141" s="241"/>
      <c r="C141" s="242" t="str">
        <f>CONCATENATE('1-zapasy'!D101,",",'1-zapasy'!E101,",",'1-zapasy'!F101,",",'1-zapasy'!G101,",",'1-zapasy'!H101)</f>
        <v>,,,,</v>
      </c>
      <c r="D141" s="242"/>
      <c r="E141" s="416"/>
      <c r="F141" s="417"/>
      <c r="G141" s="418"/>
      <c r="H141" s="419"/>
    </row>
    <row r="142" spans="1:8" ht="14.25" thickTop="1" thickBot="1" x14ac:dyDescent="0.25"/>
    <row r="143" spans="1:8" ht="99.6" customHeight="1" thickTop="1" x14ac:dyDescent="0.2">
      <c r="A143" s="395" t="str">
        <f>CONCATENATE(A1,"                           ",'1-los'!F32)</f>
        <v>BTM Tišnov 5.9.2021                           skupina B8</v>
      </c>
      <c r="B143" s="243" t="e">
        <f>LEFT(A145,SEARCH(" ",A145))</f>
        <v>#VALUE!</v>
      </c>
      <c r="C143" s="244" t="e">
        <f>LEFT(A147,SEARCH(" ",A147))</f>
        <v>#VALUE!</v>
      </c>
      <c r="D143" s="244" t="e">
        <f>LEFT(A149,SEARCH(" ",A149))</f>
        <v>#VALUE!</v>
      </c>
      <c r="E143" s="245" t="e">
        <f>LEFT(A151,SEARCH(" ",A151))</f>
        <v>#VALUE!</v>
      </c>
      <c r="F143" s="254" t="s">
        <v>299</v>
      </c>
      <c r="G143" s="255" t="s">
        <v>300</v>
      </c>
      <c r="H143" s="256"/>
    </row>
    <row r="144" spans="1:8" ht="14.45" customHeight="1" thickBot="1" x14ac:dyDescent="0.25">
      <c r="A144" s="421"/>
      <c r="B144" s="230"/>
      <c r="C144" s="231"/>
      <c r="D144" s="231"/>
      <c r="E144" s="232"/>
      <c r="F144" s="257"/>
      <c r="G144" s="258"/>
      <c r="H144" s="259"/>
    </row>
    <row r="145" spans="1:8" ht="16.5" customHeight="1" thickTop="1" x14ac:dyDescent="0.2">
      <c r="A145" s="424" t="str">
        <f>'1-los'!G33</f>
        <v/>
      </c>
      <c r="B145" s="397"/>
      <c r="C145" s="233" t="str">
        <f>CONCATENATE('1-zapasy'!I112," : ",'1-zapasy'!J112)</f>
        <v xml:space="preserve"> : </v>
      </c>
      <c r="D145" s="233" t="str">
        <f>CONCATENATE('1-zapasy'!J110," : ",'1-zapasy'!I110)</f>
        <v xml:space="preserve"> : </v>
      </c>
      <c r="E145" s="234" t="str">
        <f>CONCATENATE('1-zapasy'!I107," : ",'1-zapasy'!J107)</f>
        <v xml:space="preserve"> : </v>
      </c>
      <c r="F145" s="399">
        <f>IF('1-zapasy'!I107&gt;'1-zapasy'!J107,2,IF('1-zapasy'!I107&lt;'1-zapasy'!J107,1,0))+IF('1-zapasy'!J110&gt;'1-zapasy'!I110,2,IF('1-zapasy'!J110&lt;'1-zapasy'!I110,1,0))+IF('1-zapasy'!I112&gt;'1-zapasy'!J112,2,IF('1-zapasy'!I112&lt;'1-zapasy'!J112,1,0))</f>
        <v>0</v>
      </c>
      <c r="G145" s="401" t="str">
        <f>CONCATENATE(SUM('1-zapasy'!I107,'1-zapasy'!J110,'1-zapasy'!I112)," : ",SUM('1-zapasy'!J107,'1-zapasy'!I110,'1-zapasy'!J112))</f>
        <v>0 : 0</v>
      </c>
      <c r="H145" s="403"/>
    </row>
    <row r="146" spans="1:8" ht="12.75" customHeight="1" x14ac:dyDescent="0.2">
      <c r="A146" s="423"/>
      <c r="B146" s="398"/>
      <c r="C146" s="235" t="str">
        <f>CONCATENATE('1-zapasy'!D112,",",'1-zapasy'!E112,",",'1-zapasy'!F112,",",'1-zapasy'!G112,",",'1-zapasy'!H112)</f>
        <v>,,,,</v>
      </c>
      <c r="D146" s="235"/>
      <c r="E146" s="236" t="str">
        <f>CONCATENATE('1-zapasy'!D107,",",'1-zapasy'!E107,",",'1-zapasy'!F107,",",'1-zapasy'!G107,",",'1-zapasy'!H107)</f>
        <v>,,,,</v>
      </c>
      <c r="F146" s="400"/>
      <c r="G146" s="402"/>
      <c r="H146" s="404"/>
    </row>
    <row r="147" spans="1:8" ht="15.75" customHeight="1" x14ac:dyDescent="0.2">
      <c r="A147" s="420" t="str">
        <f>'1-los'!G34</f>
        <v/>
      </c>
      <c r="B147" s="237" t="str">
        <f>CONCATENATE('1-zapasy'!J112," : ",'1-zapasy'!I112)</f>
        <v xml:space="preserve"> : </v>
      </c>
      <c r="C147" s="405"/>
      <c r="D147" s="238" t="str">
        <f>CONCATENATE('1-zapasy'!I108," : ",'1-zapasy'!J108)</f>
        <v xml:space="preserve"> : </v>
      </c>
      <c r="E147" s="239" t="str">
        <f>CONCATENATE('1-zapasy'!J109," : ",'1-zapasy'!I109)</f>
        <v xml:space="preserve"> : </v>
      </c>
      <c r="F147" s="407">
        <f>IF('1-zapasy'!I108&gt;'1-zapasy'!J108,2,IF('1-zapasy'!I108&lt;'1-zapasy'!J108,1,0))+IF('1-zapasy'!J109&gt;'1-zapasy'!I109,2,IF('1-zapasy'!J109&lt;'1-zapasy'!I109,1,0))+IF('1-zapasy'!J112&gt;'1-zapasy'!I112,2,IF('1-zapasy'!J112&lt;'1-zapasy'!I112,1,0))</f>
        <v>0</v>
      </c>
      <c r="G147" s="408" t="str">
        <f>CONCATENATE(SUM('1-zapasy'!I108,'1-zapasy'!J109,'1-zapasy'!J112)," : ",SUM('1-zapasy'!J108,'1-zapasy'!I109,'1-zapasy'!I112))</f>
        <v>0 : 0</v>
      </c>
      <c r="H147" s="409"/>
    </row>
    <row r="148" spans="1:8" ht="12.75" customHeight="1" x14ac:dyDescent="0.2">
      <c r="A148" s="423"/>
      <c r="B148" s="240"/>
      <c r="C148" s="406"/>
      <c r="D148" s="235" t="str">
        <f>CONCATENATE('1-zapasy'!D108,",",'1-zapasy'!E108,",",'1-zapasy'!F108,",",'1-zapasy'!G108,",",'1-zapasy'!H108)</f>
        <v>,,,,</v>
      </c>
      <c r="E148" s="236"/>
      <c r="F148" s="400"/>
      <c r="G148" s="402"/>
      <c r="H148" s="404"/>
    </row>
    <row r="149" spans="1:8" ht="15.75" customHeight="1" x14ac:dyDescent="0.2">
      <c r="A149" s="420" t="str">
        <f>'1-los'!G35</f>
        <v/>
      </c>
      <c r="B149" s="237" t="str">
        <f>CONCATENATE('1-zapasy'!I110," : ",'1-zapasy'!J110)</f>
        <v xml:space="preserve"> : </v>
      </c>
      <c r="C149" s="238" t="str">
        <f>CONCATENATE('1-zapasy'!J108," : ",'1-zapasy'!I108)</f>
        <v xml:space="preserve"> : </v>
      </c>
      <c r="D149" s="405"/>
      <c r="E149" s="239" t="str">
        <f>CONCATENATE('1-zapasy'!I111," : ",'1-zapasy'!J111)</f>
        <v xml:space="preserve"> : </v>
      </c>
      <c r="F149" s="407">
        <f>IF('1-zapasy'!J108&gt;'1-zapasy'!I108,2,IF('1-zapasy'!J108&lt;'1-zapasy'!I108,1,0))+IF('1-zapasy'!I110&gt;'1-zapasy'!J110,2,IF('1-zapasy'!I110&lt;'1-zapasy'!J110,1,0))+IF('1-zapasy'!I111&gt;'1-zapasy'!J111,2,IF('1-zapasy'!I111&lt;'1-zapasy'!J111,1,0))</f>
        <v>0</v>
      </c>
      <c r="G149" s="408" t="str">
        <f>CONCATENATE(SUM('1-zapasy'!J108,'1-zapasy'!I110,'1-zapasy'!I111)," : ",SUM('1-zapasy'!I108,'1-zapasy'!J110,'1-zapasy'!J111))</f>
        <v>0 : 0</v>
      </c>
      <c r="H149" s="409"/>
    </row>
    <row r="150" spans="1:8" ht="12.75" customHeight="1" x14ac:dyDescent="0.2">
      <c r="A150" s="423"/>
      <c r="B150" s="240" t="str">
        <f>CONCATENATE('1-zapasy'!D110,",",'1-zapasy'!E110,",",'1-zapasy'!F110,",",'1-zapasy'!G110,",",'1-zapasy'!H110)</f>
        <v>,,,,</v>
      </c>
      <c r="C150" s="235"/>
      <c r="D150" s="406"/>
      <c r="E150" s="236" t="str">
        <f>CONCATENATE('1-zapasy'!D111,",",'1-zapasy'!E111,",",'1-zapasy'!F111,",",'1-zapasy'!G111,",",'1-zapasy'!H111)</f>
        <v>,,,,</v>
      </c>
      <c r="F150" s="400"/>
      <c r="G150" s="402"/>
      <c r="H150" s="404"/>
    </row>
    <row r="151" spans="1:8" ht="15.75" customHeight="1" x14ac:dyDescent="0.2">
      <c r="A151" s="420" t="str">
        <f>'1-los'!G36</f>
        <v/>
      </c>
      <c r="B151" s="237" t="str">
        <f>CONCATENATE('1-zapasy'!J107," : ",'1-zapasy'!I107)</f>
        <v xml:space="preserve"> : </v>
      </c>
      <c r="C151" s="238" t="str">
        <f>CONCATENATE('1-zapasy'!I109," : ",'1-zapasy'!J109)</f>
        <v xml:space="preserve"> : </v>
      </c>
      <c r="D151" s="238" t="str">
        <f>CONCATENATE('1-zapasy'!J111," : ",'1-zapasy'!I111)</f>
        <v xml:space="preserve"> : </v>
      </c>
      <c r="E151" s="410"/>
      <c r="F151" s="407">
        <f>IF('1-zapasy'!J107&gt;'1-zapasy'!I107,2,IF('1-zapasy'!J107&lt;'1-zapasy'!I107,1,0))+IF('1-zapasy'!I109&gt;'1-zapasy'!J109,2,IF('1-zapasy'!I109&lt;'1-zapasy'!J109,1,0))+IF('1-zapasy'!J111&gt;'1-zapasy'!I111,2,IF('1-zapasy'!J111&lt;'1-zapasy'!I111,1,0))</f>
        <v>0</v>
      </c>
      <c r="G151" s="408" t="str">
        <f>CONCATENATE(SUM('1-zapasy'!J107,'1-zapasy'!I109,'1-zapasy'!J111)," : ",SUM('1-zapasy'!I107,'1-zapasy'!J109,'1-zapasy'!I111))</f>
        <v>0 : 0</v>
      </c>
      <c r="H151" s="409"/>
    </row>
    <row r="152" spans="1:8" ht="13.5" customHeight="1" thickBot="1" x14ac:dyDescent="0.25">
      <c r="A152" s="422"/>
      <c r="B152" s="241"/>
      <c r="C152" s="242" t="str">
        <f>CONCATENATE('1-zapasy'!D109,",",'1-zapasy'!E109,",",'1-zapasy'!F109,",",'1-zapasy'!G109,",",'1-zapasy'!H109)</f>
        <v>,,,,</v>
      </c>
      <c r="D152" s="242"/>
      <c r="E152" s="416"/>
      <c r="F152" s="417"/>
      <c r="G152" s="418"/>
      <c r="H152" s="419"/>
    </row>
    <row r="153" spans="1:8" ht="14.25" thickTop="1" thickBot="1" x14ac:dyDescent="0.25"/>
    <row r="154" spans="1:8" ht="99.6" customHeight="1" thickTop="1" x14ac:dyDescent="0.2">
      <c r="A154" s="395" t="str">
        <f>CONCATENATE(A1,"                           ",'1-los'!D37)</f>
        <v>BTM Tišnov 5.9.2021                           skupina B9</v>
      </c>
      <c r="B154" s="243" t="e">
        <f>LEFT(A156,SEARCH(" ",A156))</f>
        <v>#VALUE!</v>
      </c>
      <c r="C154" s="244" t="e">
        <f>LEFT(A158,SEARCH(" ",A158))</f>
        <v>#VALUE!</v>
      </c>
      <c r="D154" s="244" t="e">
        <f>LEFT(A160,SEARCH(" ",A160))</f>
        <v>#VALUE!</v>
      </c>
      <c r="E154" s="245" t="e">
        <f>LEFT(A162,SEARCH(" ",A162))</f>
        <v>#VALUE!</v>
      </c>
      <c r="F154" s="254" t="s">
        <v>299</v>
      </c>
      <c r="G154" s="255" t="s">
        <v>300</v>
      </c>
      <c r="H154" s="256"/>
    </row>
    <row r="155" spans="1:8" ht="14.45" customHeight="1" thickBot="1" x14ac:dyDescent="0.25">
      <c r="A155" s="396"/>
      <c r="B155" s="230"/>
      <c r="C155" s="231"/>
      <c r="D155" s="231"/>
      <c r="E155" s="232"/>
      <c r="F155" s="257"/>
      <c r="G155" s="258"/>
      <c r="H155" s="259"/>
    </row>
    <row r="156" spans="1:8" ht="16.5" thickTop="1" x14ac:dyDescent="0.2">
      <c r="A156" s="392" t="str">
        <f>'1-los'!E38</f>
        <v/>
      </c>
      <c r="B156" s="397"/>
      <c r="C156" s="233" t="str">
        <f>CONCATENATE('1-zapasy'!I120," : ",'1-zapasy'!J120)</f>
        <v xml:space="preserve"> : </v>
      </c>
      <c r="D156" s="233" t="str">
        <f>CONCATENATE('1-zapasy'!J118," : ",'1-zapasy'!I118)</f>
        <v xml:space="preserve"> : </v>
      </c>
      <c r="E156" s="234" t="str">
        <f>CONCATENATE('1-zapasy'!I115," : ",'1-zapasy'!J115)</f>
        <v xml:space="preserve"> : </v>
      </c>
      <c r="F156" s="399">
        <f>IF('1-zapasy'!I115&gt;'1-zapasy'!J115,2,IF('1-zapasy'!I115&lt;'1-zapasy'!J115,1,0))+IF('1-zapasy'!J118&gt;'1-zapasy'!I118,2,IF('1-zapasy'!J118&lt;'1-zapasy'!I118,1,0))+IF('1-zapasy'!I120&gt;'1-zapasy'!J120,2,IF('1-zapasy'!I120&lt;'1-zapasy'!J120,1,0))</f>
        <v>0</v>
      </c>
      <c r="G156" s="401" t="str">
        <f>CONCATENATE(SUM('1-zapasy'!I115,'1-zapasy'!J118,'1-zapasy'!I120)," : ",SUM('1-zapasy'!J115,'1-zapasy'!I118,'1-zapasy'!J120))</f>
        <v>0 : 0</v>
      </c>
      <c r="H156" s="403"/>
    </row>
    <row r="157" spans="1:8" x14ac:dyDescent="0.2">
      <c r="A157" s="393"/>
      <c r="B157" s="398"/>
      <c r="C157" s="235" t="str">
        <f>CONCATENATE('1-zapasy'!D120,",",'1-zapasy'!E120,",",'1-zapasy'!F120,",",'1-zapasy'!G120,",",'1-zapasy'!H120)</f>
        <v>,,,,</v>
      </c>
      <c r="D157" s="235"/>
      <c r="E157" s="236" t="str">
        <f>CONCATENATE('1-zapasy'!D115,",",'1-zapasy'!E115,",",'1-zapasy'!F115,",",'1-zapasy'!G115,",",'1-zapasy'!H115)</f>
        <v>,,,,</v>
      </c>
      <c r="F157" s="400"/>
      <c r="G157" s="402"/>
      <c r="H157" s="404"/>
    </row>
    <row r="158" spans="1:8" ht="15.75" x14ac:dyDescent="0.2">
      <c r="A158" s="393" t="str">
        <f>'1-los'!E39</f>
        <v/>
      </c>
      <c r="B158" s="237" t="str">
        <f>CONCATENATE('1-zapasy'!J120," : ",'1-zapasy'!I120)</f>
        <v xml:space="preserve"> : </v>
      </c>
      <c r="C158" s="405"/>
      <c r="D158" s="238" t="str">
        <f>CONCATENATE('1-zapasy'!I116," : ",'1-zapasy'!J116)</f>
        <v xml:space="preserve"> : </v>
      </c>
      <c r="E158" s="239" t="str">
        <f>CONCATENATE('1-zapasy'!J117," : ",'1-zapasy'!I117)</f>
        <v xml:space="preserve"> : </v>
      </c>
      <c r="F158" s="407">
        <f>IF('1-zapasy'!I116&gt;'1-zapasy'!J116,2,IF('1-zapasy'!I116&lt;'1-zapasy'!J116,1,0))+IF('1-zapasy'!J117&gt;'1-zapasy'!I117,2,IF('1-zapasy'!J117&lt;'1-zapasy'!I117,1,0))+IF('1-zapasy'!J120&gt;'1-zapasy'!I120,2,IF('1-zapasy'!J120&lt;'1-zapasy'!I120,1,0))</f>
        <v>0</v>
      </c>
      <c r="G158" s="408" t="str">
        <f>CONCATENATE(SUM('1-zapasy'!I116,'1-zapasy'!J117,'1-zapasy'!J120)," : ",SUM('1-zapasy'!J116,'1-zapasy'!I117,'1-zapasy'!I120))</f>
        <v>0 : 0</v>
      </c>
      <c r="H158" s="409"/>
    </row>
    <row r="159" spans="1:8" x14ac:dyDescent="0.2">
      <c r="A159" s="393"/>
      <c r="B159" s="240"/>
      <c r="C159" s="406"/>
      <c r="D159" s="235" t="str">
        <f>CONCATENATE('1-zapasy'!D116,",",'1-zapasy'!E116,",",'1-zapasy'!F116,",",'1-zapasy'!G116,",",'1-zapasy'!H116)</f>
        <v>,,,,</v>
      </c>
      <c r="E159" s="236"/>
      <c r="F159" s="400"/>
      <c r="G159" s="402"/>
      <c r="H159" s="404"/>
    </row>
    <row r="160" spans="1:8" ht="15.75" x14ac:dyDescent="0.2">
      <c r="A160" s="393" t="str">
        <f>'1-los'!E40</f>
        <v/>
      </c>
      <c r="B160" s="237" t="str">
        <f>CONCATENATE('1-zapasy'!I118," : ",'1-zapasy'!J118)</f>
        <v xml:space="preserve"> : </v>
      </c>
      <c r="C160" s="238" t="str">
        <f>CONCATENATE('1-zapasy'!J116," : ",'1-zapasy'!I116)</f>
        <v xml:space="preserve"> : </v>
      </c>
      <c r="D160" s="405"/>
      <c r="E160" s="239" t="str">
        <f>CONCATENATE('1-zapasy'!I119," : ",'1-zapasy'!J119)</f>
        <v xml:space="preserve"> : </v>
      </c>
      <c r="F160" s="407">
        <f>IF('1-zapasy'!J116&gt;'1-zapasy'!I116,2,IF('1-zapasy'!J116&lt;'1-zapasy'!I116,1,0))+IF('1-zapasy'!I118&gt;'1-zapasy'!J118,2,IF('1-zapasy'!I118&lt;'1-zapasy'!J118,1,0))+IF('1-zapasy'!I119&gt;'1-zapasy'!J119,2,IF('1-zapasy'!I119&lt;'1-zapasy'!J119,1,0))</f>
        <v>0</v>
      </c>
      <c r="G160" s="408" t="str">
        <f>CONCATENATE(SUM('1-zapasy'!J116,'1-zapasy'!I118,'1-zapasy'!I119)," : ",SUM('1-zapasy'!I116,'1-zapasy'!J118,'1-zapasy'!J119))</f>
        <v>0 : 0</v>
      </c>
      <c r="H160" s="409"/>
    </row>
    <row r="161" spans="1:8" x14ac:dyDescent="0.2">
      <c r="A161" s="393"/>
      <c r="B161" s="240" t="str">
        <f>CONCATENATE('1-zapasy'!D118,",",'1-zapasy'!E118,",",'1-zapasy'!F118,",",'1-zapasy'!G118,",",'1-zapasy'!H118)</f>
        <v>,,,,</v>
      </c>
      <c r="C161" s="235"/>
      <c r="D161" s="406"/>
      <c r="E161" s="236" t="str">
        <f>CONCATENATE('1-zapasy'!D119,",",'1-zapasy'!E119,",",'1-zapasy'!F119,",",'1-zapasy'!G119,",",'1-zapasy'!H119)</f>
        <v>,,,,</v>
      </c>
      <c r="F161" s="400"/>
      <c r="G161" s="402"/>
      <c r="H161" s="404"/>
    </row>
    <row r="162" spans="1:8" ht="15.75" x14ac:dyDescent="0.2">
      <c r="A162" s="393" t="str">
        <f>'1-los'!E41</f>
        <v/>
      </c>
      <c r="B162" s="237" t="str">
        <f>CONCATENATE('1-zapasy'!J115," : ",'1-zapasy'!I115)</f>
        <v xml:space="preserve"> : </v>
      </c>
      <c r="C162" s="238" t="str">
        <f>CONCATENATE('1-zapasy'!I117," : ",'1-zapasy'!J117)</f>
        <v xml:space="preserve"> : </v>
      </c>
      <c r="D162" s="238" t="str">
        <f>CONCATENATE('1-zapasy'!J119," : ",'1-zapasy'!I119)</f>
        <v xml:space="preserve"> : </v>
      </c>
      <c r="E162" s="410"/>
      <c r="F162" s="407">
        <f>IF('1-zapasy'!J115&gt;'1-zapasy'!I115,2,IF('1-zapasy'!J115&lt;'1-zapasy'!I115,1,0))+IF('1-zapasy'!I117&gt;'1-zapasy'!J117,2,IF('1-zapasy'!I117&lt;'1-zapasy'!J117,1,0))+IF('1-zapasy'!J119&gt;'1-zapasy'!I119,2,IF('1-zapasy'!J119&lt;'1-zapasy'!I119,1,0))</f>
        <v>0</v>
      </c>
      <c r="G162" s="408" t="str">
        <f>CONCATENATE(SUM('1-zapasy'!J115,'1-zapasy'!I117,'1-zapasy'!J119)," : ",SUM('1-zapasy'!I115,'1-zapasy'!J117,'1-zapasy'!I119))</f>
        <v>0 : 0</v>
      </c>
      <c r="H162" s="409"/>
    </row>
    <row r="163" spans="1:8" ht="13.5" thickBot="1" x14ac:dyDescent="0.25">
      <c r="A163" s="415"/>
      <c r="B163" s="241"/>
      <c r="C163" s="242" t="str">
        <f>CONCATENATE('1-zapasy'!D117,",",'1-zapasy'!E117,",",'1-zapasy'!F117,",",'1-zapasy'!G117,",",'1-zapasy'!H117)</f>
        <v>,,,,</v>
      </c>
      <c r="D163" s="242"/>
      <c r="E163" s="416"/>
      <c r="F163" s="417"/>
      <c r="G163" s="418"/>
      <c r="H163" s="419"/>
    </row>
    <row r="164" spans="1:8" ht="14.25" thickTop="1" thickBot="1" x14ac:dyDescent="0.25"/>
    <row r="165" spans="1:8" ht="99.6" customHeight="1" thickTop="1" x14ac:dyDescent="0.2">
      <c r="A165" s="395" t="str">
        <f>CONCATENATE(A1,"                           ",'1-los'!F37)</f>
        <v>BTM Tišnov 5.9.2021                           skupina B10</v>
      </c>
      <c r="B165" s="243" t="e">
        <f>LEFT(A167,SEARCH(" ",A167))</f>
        <v>#VALUE!</v>
      </c>
      <c r="C165" s="244" t="e">
        <f>LEFT(A169,SEARCH(" ",A169))</f>
        <v>#VALUE!</v>
      </c>
      <c r="D165" s="244" t="e">
        <f>LEFT(A171,SEARCH(" ",A171))</f>
        <v>#VALUE!</v>
      </c>
      <c r="E165" s="245" t="e">
        <f>LEFT(A173,SEARCH(" ",A173))</f>
        <v>#VALUE!</v>
      </c>
      <c r="F165" s="254" t="s">
        <v>299</v>
      </c>
      <c r="G165" s="255" t="s">
        <v>300</v>
      </c>
      <c r="H165" s="256"/>
    </row>
    <row r="166" spans="1:8" ht="14.45" customHeight="1" thickBot="1" x14ac:dyDescent="0.25">
      <c r="A166" s="396"/>
      <c r="B166" s="230"/>
      <c r="C166" s="231"/>
      <c r="D166" s="231"/>
      <c r="E166" s="232"/>
      <c r="F166" s="257"/>
      <c r="G166" s="258"/>
      <c r="H166" s="259"/>
    </row>
    <row r="167" spans="1:8" ht="16.5" thickTop="1" x14ac:dyDescent="0.2">
      <c r="A167" s="392" t="str">
        <f>'1-los'!G38</f>
        <v/>
      </c>
      <c r="B167" s="397"/>
      <c r="C167" s="233" t="str">
        <f>CONCATENATE('1-zapasy'!I128," : ",'1-zapasy'!J128)</f>
        <v xml:space="preserve"> : </v>
      </c>
      <c r="D167" s="233" t="str">
        <f>CONCATENATE('1-zapasy'!J126," : ",'1-zapasy'!I126)</f>
        <v xml:space="preserve"> : </v>
      </c>
      <c r="E167" s="234" t="str">
        <f>CONCATENATE('1-zapasy'!I123," : ",'1-zapasy'!J123)</f>
        <v xml:space="preserve"> : </v>
      </c>
      <c r="F167" s="399">
        <f>IF('1-zapasy'!I123&gt;'1-zapasy'!J123,2,IF('1-zapasy'!I123&lt;'1-zapasy'!J123,1,0))+IF('1-zapasy'!J126&gt;'1-zapasy'!I126,2,IF('1-zapasy'!J126&lt;'1-zapasy'!I126,1,0))+IF('1-zapasy'!I128&gt;'1-zapasy'!J128,2,IF('1-zapasy'!I128&lt;'1-zapasy'!J128,1,0))</f>
        <v>0</v>
      </c>
      <c r="G167" s="401" t="str">
        <f>CONCATENATE(SUM('1-zapasy'!I123,'1-zapasy'!J126,'1-zapasy'!I128)," : ",SUM('1-zapasy'!J123,'1-zapasy'!I126,'1-zapasy'!J128))</f>
        <v>0 : 0</v>
      </c>
      <c r="H167" s="403"/>
    </row>
    <row r="168" spans="1:8" x14ac:dyDescent="0.2">
      <c r="A168" s="393"/>
      <c r="B168" s="398"/>
      <c r="C168" s="235" t="str">
        <f>CONCATENATE('1-zapasy'!D128,",",'1-zapasy'!E128,",",'1-zapasy'!F128,",",'1-zapasy'!G128,",",'1-zapasy'!H128)</f>
        <v>,,,,</v>
      </c>
      <c r="D168" s="235"/>
      <c r="E168" s="236" t="str">
        <f>CONCATENATE('1-zapasy'!D123,",",'1-zapasy'!E123,",",'1-zapasy'!F123,",",'1-zapasy'!G123,",",'1-zapasy'!H123)</f>
        <v>,,,,</v>
      </c>
      <c r="F168" s="400"/>
      <c r="G168" s="402"/>
      <c r="H168" s="404"/>
    </row>
    <row r="169" spans="1:8" ht="15.75" x14ac:dyDescent="0.2">
      <c r="A169" s="393" t="str">
        <f>'1-los'!G39</f>
        <v/>
      </c>
      <c r="B169" s="237" t="str">
        <f>CONCATENATE('1-zapasy'!J128," : ",'1-zapasy'!I128)</f>
        <v xml:space="preserve"> : </v>
      </c>
      <c r="C169" s="405"/>
      <c r="D169" s="238" t="str">
        <f>CONCATENATE('1-zapasy'!I124," : ",'1-zapasy'!J124)</f>
        <v xml:space="preserve"> : </v>
      </c>
      <c r="E169" s="239" t="str">
        <f>CONCATENATE('1-zapasy'!J125," : ",'1-zapasy'!I125)</f>
        <v xml:space="preserve"> : </v>
      </c>
      <c r="F169" s="407">
        <f>IF('1-zapasy'!I124&gt;'1-zapasy'!J124,2,IF('1-zapasy'!I124&lt;'1-zapasy'!J124,1,0))+IF('1-zapasy'!J125&gt;'1-zapasy'!I125,2,IF('1-zapasy'!J125&lt;'1-zapasy'!I125,1,0))+IF('1-zapasy'!J128&gt;'1-zapasy'!I128,2,IF('1-zapasy'!J128&lt;'1-zapasy'!I128,1,0))</f>
        <v>0</v>
      </c>
      <c r="G169" s="408" t="str">
        <f>CONCATENATE(SUM('1-zapasy'!I124,'1-zapasy'!J125,'1-zapasy'!J128)," : ",SUM('1-zapasy'!J124,'1-zapasy'!I125,'1-zapasy'!I128))</f>
        <v>0 : 0</v>
      </c>
      <c r="H169" s="409"/>
    </row>
    <row r="170" spans="1:8" x14ac:dyDescent="0.2">
      <c r="A170" s="393"/>
      <c r="B170" s="240"/>
      <c r="C170" s="406"/>
      <c r="D170" s="235" t="str">
        <f>CONCATENATE('1-zapasy'!D124,",",'1-zapasy'!E124,",",'1-zapasy'!F124,",",'1-zapasy'!G124,",",'1-zapasy'!H124)</f>
        <v>,,,,</v>
      </c>
      <c r="E170" s="236"/>
      <c r="F170" s="400"/>
      <c r="G170" s="402"/>
      <c r="H170" s="404"/>
    </row>
    <row r="171" spans="1:8" ht="15.75" x14ac:dyDescent="0.2">
      <c r="A171" s="393" t="str">
        <f>'1-los'!G40</f>
        <v/>
      </c>
      <c r="B171" s="237" t="str">
        <f>CONCATENATE('1-zapasy'!I126," : ",'1-zapasy'!J126)</f>
        <v xml:space="preserve"> : </v>
      </c>
      <c r="C171" s="238" t="str">
        <f>CONCATENATE('1-zapasy'!J124," : ",'1-zapasy'!I124)</f>
        <v xml:space="preserve"> : </v>
      </c>
      <c r="D171" s="405"/>
      <c r="E171" s="239" t="str">
        <f>CONCATENATE('1-zapasy'!I127," : ",'1-zapasy'!J127)</f>
        <v xml:space="preserve"> : </v>
      </c>
      <c r="F171" s="407">
        <f>IF('1-zapasy'!J124&gt;'1-zapasy'!I124,2,IF('1-zapasy'!J124&lt;'1-zapasy'!I124,1,0))+IF('1-zapasy'!I126&gt;'1-zapasy'!J126,2,IF('1-zapasy'!I126&lt;'1-zapasy'!J126,1,0))+IF('1-zapasy'!I127&gt;'1-zapasy'!J127,2,IF('1-zapasy'!I127&lt;'1-zapasy'!J127,1,0))</f>
        <v>0</v>
      </c>
      <c r="G171" s="408" t="str">
        <f>CONCATENATE(SUM('1-zapasy'!J124,'1-zapasy'!I126,'1-zapasy'!I127)," : ",SUM('1-zapasy'!I124,'1-zapasy'!J126,'1-zapasy'!J127))</f>
        <v>0 : 0</v>
      </c>
      <c r="H171" s="409"/>
    </row>
    <row r="172" spans="1:8" x14ac:dyDescent="0.2">
      <c r="A172" s="393"/>
      <c r="B172" s="240" t="str">
        <f>CONCATENATE('1-zapasy'!D126,",",'1-zapasy'!E126,",",'1-zapasy'!F126,",",'1-zapasy'!G126,",",'1-zapasy'!H126)</f>
        <v>,,,,</v>
      </c>
      <c r="C172" s="235"/>
      <c r="D172" s="406"/>
      <c r="E172" s="236" t="str">
        <f>CONCATENATE('1-zapasy'!D127,",",'1-zapasy'!E127,",",'1-zapasy'!F127,",",'1-zapasy'!G127,",",'1-zapasy'!H127)</f>
        <v>,,,,</v>
      </c>
      <c r="F172" s="400"/>
      <c r="G172" s="402"/>
      <c r="H172" s="404"/>
    </row>
    <row r="173" spans="1:8" ht="15.75" x14ac:dyDescent="0.2">
      <c r="A173" s="393" t="str">
        <f>'1-los'!G41</f>
        <v/>
      </c>
      <c r="B173" s="237" t="str">
        <f>CONCATENATE('1-zapasy'!J123," : ",'1-zapasy'!I123)</f>
        <v xml:space="preserve"> : </v>
      </c>
      <c r="C173" s="238" t="str">
        <f>CONCATENATE('1-zapasy'!I125," : ",'1-zapasy'!J125)</f>
        <v xml:space="preserve"> : </v>
      </c>
      <c r="D173" s="238" t="str">
        <f>CONCATENATE('1-zapasy'!J127," : ",'1-zapasy'!I127)</f>
        <v xml:space="preserve"> : </v>
      </c>
      <c r="E173" s="410"/>
      <c r="F173" s="407">
        <f>IF('1-zapasy'!J123&gt;'1-zapasy'!I123,2,IF('1-zapasy'!J123&lt;'1-zapasy'!I123,1,0))+IF('1-zapasy'!I125&gt;'1-zapasy'!J125,2,IF('1-zapasy'!I125&lt;'1-zapasy'!J125,1,0))+IF('1-zapasy'!J127&gt;'1-zapasy'!I127,2,IF('1-zapasy'!J127&lt;'1-zapasy'!I127,1,0))</f>
        <v>0</v>
      </c>
      <c r="G173" s="408" t="str">
        <f>CONCATENATE(SUM('1-zapasy'!J123,'1-zapasy'!I125,'1-zapasy'!J127)," : ",SUM('1-zapasy'!I123,'1-zapasy'!J125,'1-zapasy'!I127))</f>
        <v>0 : 0</v>
      </c>
      <c r="H173" s="409"/>
    </row>
    <row r="174" spans="1:8" ht="13.5" thickBot="1" x14ac:dyDescent="0.25">
      <c r="A174" s="415"/>
      <c r="B174" s="241"/>
      <c r="C174" s="242" t="str">
        <f>CONCATENATE('1-zapasy'!D125,",",'1-zapasy'!E125,",",'1-zapasy'!F125,",",'1-zapasy'!G125,",",'1-zapasy'!H125)</f>
        <v>,,,,</v>
      </c>
      <c r="D174" s="242"/>
      <c r="E174" s="416"/>
      <c r="F174" s="417"/>
      <c r="G174" s="418"/>
      <c r="H174" s="419"/>
    </row>
    <row r="175" spans="1:8" ht="99.6" customHeight="1" thickTop="1" x14ac:dyDescent="0.2">
      <c r="A175" s="395" t="str">
        <f>CONCATENATE(A1,"                           ",'1-los'!D42)</f>
        <v>BTM Tišnov 5.9.2021                           skupina B11</v>
      </c>
      <c r="B175" s="243" t="e">
        <f>LEFT(A177,SEARCH(" ",A177))</f>
        <v>#VALUE!</v>
      </c>
      <c r="C175" s="244" t="e">
        <f>LEFT(A179,SEARCH(" ",A179))</f>
        <v>#VALUE!</v>
      </c>
      <c r="D175" s="244" t="e">
        <f>LEFT(A181,SEARCH(" ",A181))</f>
        <v>#VALUE!</v>
      </c>
      <c r="E175" s="245" t="e">
        <f>LEFT(A183,SEARCH(" ",A183))</f>
        <v>#VALUE!</v>
      </c>
      <c r="F175" s="254" t="s">
        <v>299</v>
      </c>
      <c r="G175" s="255" t="s">
        <v>300</v>
      </c>
      <c r="H175" s="256"/>
    </row>
    <row r="176" spans="1:8" ht="14.45" customHeight="1" thickBot="1" x14ac:dyDescent="0.25">
      <c r="A176" s="396"/>
      <c r="B176" s="230"/>
      <c r="C176" s="231"/>
      <c r="D176" s="231"/>
      <c r="E176" s="232"/>
      <c r="F176" s="257"/>
      <c r="G176" s="258"/>
      <c r="H176" s="259"/>
    </row>
    <row r="177" spans="1:8" ht="16.5" thickTop="1" x14ac:dyDescent="0.2">
      <c r="A177" s="392" t="str">
        <f>'1-los'!E43</f>
        <v/>
      </c>
      <c r="B177" s="397"/>
      <c r="C177" s="233" t="str">
        <f>CONCATENATE('1-zapasy'!I136," : ",'1-zapasy'!J136)</f>
        <v xml:space="preserve"> : </v>
      </c>
      <c r="D177" s="233" t="str">
        <f>CONCATENATE('1-zapasy'!J134," : ",'1-zapasy'!I134)</f>
        <v xml:space="preserve"> : </v>
      </c>
      <c r="E177" s="234" t="str">
        <f>CONCATENATE('1-zapasy'!I131," : ",'1-zapasy'!J131)</f>
        <v xml:space="preserve"> : </v>
      </c>
      <c r="F177" s="399">
        <f>IF('1-zapasy'!I131&gt;'1-zapasy'!J131,2,IF('1-zapasy'!I131&lt;'1-zapasy'!J131,1,0))+IF('1-zapasy'!J134&gt;'1-zapasy'!I134,2,IF('1-zapasy'!J134&lt;'1-zapasy'!I134,1,0))+IF('1-zapasy'!I136&gt;'1-zapasy'!J136,2,IF('1-zapasy'!I136&lt;'1-zapasy'!J136,1,0))</f>
        <v>0</v>
      </c>
      <c r="G177" s="401" t="str">
        <f>CONCATENATE(SUM('1-zapasy'!I131,'1-zapasy'!J134,'1-zapasy'!I136)," : ",SUM('1-zapasy'!J131,'1-zapasy'!I134,'1-zapasy'!J136))</f>
        <v>0 : 0</v>
      </c>
      <c r="H177" s="403"/>
    </row>
    <row r="178" spans="1:8" x14ac:dyDescent="0.2">
      <c r="A178" s="393"/>
      <c r="B178" s="398"/>
      <c r="C178" s="235" t="str">
        <f>CONCATENATE('1-zapasy'!D136,",",'1-zapasy'!E136,",",'1-zapasy'!F136,",",'1-zapasy'!G136,",",'1-zapasy'!H136)</f>
        <v>,,,,</v>
      </c>
      <c r="D178" s="235"/>
      <c r="E178" s="236" t="str">
        <f>CONCATENATE('1-zapasy'!D131,",",'1-zapasy'!E131,",",'1-zapasy'!F131,",",'1-zapasy'!G131,",",'1-zapasy'!H131)</f>
        <v>,,,,</v>
      </c>
      <c r="F178" s="400"/>
      <c r="G178" s="402"/>
      <c r="H178" s="404"/>
    </row>
    <row r="179" spans="1:8" ht="15.75" x14ac:dyDescent="0.2">
      <c r="A179" s="393" t="str">
        <f>'1-los'!E44</f>
        <v/>
      </c>
      <c r="B179" s="237" t="str">
        <f>CONCATENATE('1-zapasy'!J136," : ",'1-zapasy'!I136)</f>
        <v xml:space="preserve"> : </v>
      </c>
      <c r="C179" s="405"/>
      <c r="D179" s="238" t="str">
        <f>CONCATENATE('1-zapasy'!I132," : ",'1-zapasy'!J132)</f>
        <v xml:space="preserve"> : </v>
      </c>
      <c r="E179" s="239" t="str">
        <f>CONCATENATE('1-zapasy'!J133," : ",'1-zapasy'!I133)</f>
        <v xml:space="preserve"> : </v>
      </c>
      <c r="F179" s="407">
        <f>IF('1-zapasy'!I132&gt;'1-zapasy'!J132,2,IF('1-zapasy'!I132&lt;'1-zapasy'!J132,1,0))+IF('1-zapasy'!J133&gt;'1-zapasy'!I133,2,IF('1-zapasy'!J133&lt;'1-zapasy'!I133,1,0))+IF('1-zapasy'!J136&gt;'1-zapasy'!I136,2,IF('1-zapasy'!J136&lt;'1-zapasy'!I136,1,0))</f>
        <v>0</v>
      </c>
      <c r="G179" s="408" t="str">
        <f>CONCATENATE(SUM('1-zapasy'!I132,'1-zapasy'!J133,'1-zapasy'!J136)," : ",SUM('1-zapasy'!J132,'1-zapasy'!I133,'1-zapasy'!I136))</f>
        <v>0 : 0</v>
      </c>
      <c r="H179" s="409"/>
    </row>
    <row r="180" spans="1:8" x14ac:dyDescent="0.2">
      <c r="A180" s="393"/>
      <c r="B180" s="240"/>
      <c r="C180" s="406"/>
      <c r="D180" s="235" t="str">
        <f>CONCATENATE('1-zapasy'!D132,",",'1-zapasy'!E132,",",'1-zapasy'!F132,",",'1-zapasy'!G132,",",'1-zapasy'!H132)</f>
        <v>,,,,</v>
      </c>
      <c r="E180" s="236"/>
      <c r="F180" s="400"/>
      <c r="G180" s="402"/>
      <c r="H180" s="404"/>
    </row>
    <row r="181" spans="1:8" ht="15.75" x14ac:dyDescent="0.2">
      <c r="A181" s="393" t="str">
        <f>'1-los'!E45</f>
        <v/>
      </c>
      <c r="B181" s="237" t="str">
        <f>CONCATENATE('1-zapasy'!I134," : ",'1-zapasy'!J134)</f>
        <v xml:space="preserve"> : </v>
      </c>
      <c r="C181" s="238" t="str">
        <f>CONCATENATE('1-zapasy'!J132," : ",'1-zapasy'!I132)</f>
        <v xml:space="preserve"> : </v>
      </c>
      <c r="D181" s="405"/>
      <c r="E181" s="239" t="str">
        <f>CONCATENATE('1-zapasy'!I135," : ",'1-zapasy'!J135)</f>
        <v xml:space="preserve"> : </v>
      </c>
      <c r="F181" s="407">
        <f>IF('1-zapasy'!J132&gt;'1-zapasy'!I132,2,IF('1-zapasy'!J132&lt;'1-zapasy'!I132,1,0))+IF('1-zapasy'!I134&gt;'1-zapasy'!J134,2,IF('1-zapasy'!I134&lt;'1-zapasy'!J134,1,0))+IF('1-zapasy'!I135&gt;'1-zapasy'!J135,2,IF('1-zapasy'!I135&lt;'1-zapasy'!J135,1,0))</f>
        <v>0</v>
      </c>
      <c r="G181" s="408" t="str">
        <f>CONCATENATE(SUM('1-zapasy'!J132,'1-zapasy'!I134,'1-zapasy'!I135)," : ",SUM('1-zapasy'!I132,'1-zapasy'!J134,'1-zapasy'!J135))</f>
        <v>0 : 0</v>
      </c>
      <c r="H181" s="409"/>
    </row>
    <row r="182" spans="1:8" x14ac:dyDescent="0.2">
      <c r="A182" s="393"/>
      <c r="B182" s="240" t="str">
        <f>CONCATENATE('1-zapasy'!D134,",",'1-zapasy'!E134,",",'1-zapasy'!F134,",",'1-zapasy'!G134,",",'1-zapasy'!H134)</f>
        <v>,,,,</v>
      </c>
      <c r="C182" s="235"/>
      <c r="D182" s="406"/>
      <c r="E182" s="236" t="str">
        <f>CONCATENATE('1-zapasy'!D135,",",'1-zapasy'!E135,",",'1-zapasy'!F135,",",'1-zapasy'!G135,",",'1-zapasy'!H135)</f>
        <v>,,,,</v>
      </c>
      <c r="F182" s="400"/>
      <c r="G182" s="402"/>
      <c r="H182" s="404"/>
    </row>
    <row r="183" spans="1:8" ht="15.75" x14ac:dyDescent="0.2">
      <c r="A183" s="393" t="str">
        <f>'1-los'!E46</f>
        <v/>
      </c>
      <c r="B183" s="237" t="str">
        <f>CONCATENATE('1-zapasy'!J131," : ",'1-zapasy'!I131)</f>
        <v xml:space="preserve"> : </v>
      </c>
      <c r="C183" s="238" t="str">
        <f>CONCATENATE('1-zapasy'!I133," : ",'1-zapasy'!J133)</f>
        <v xml:space="preserve"> : </v>
      </c>
      <c r="D183" s="238" t="str">
        <f>CONCATENATE('1-zapasy'!J135," : ",'1-zapasy'!I135)</f>
        <v xml:space="preserve"> : </v>
      </c>
      <c r="E183" s="410"/>
      <c r="F183" s="407">
        <f>IF('1-zapasy'!J131&gt;'1-zapasy'!I131,2,IF('1-zapasy'!J131&lt;'1-zapasy'!I131,1,0))+IF('1-zapasy'!I133&gt;'1-zapasy'!J133,2,IF('1-zapasy'!I133&lt;'1-zapasy'!J133,1,0))+IF('1-zapasy'!J135&gt;'1-zapasy'!I135,2,IF('1-zapasy'!J135&lt;'1-zapasy'!I135,1,0))</f>
        <v>0</v>
      </c>
      <c r="G183" s="408" t="str">
        <f>CONCATENATE(SUM('1-zapasy'!J131,'1-zapasy'!I133,'1-zapasy'!J135)," : ",SUM('1-zapasy'!I131,'1-zapasy'!J133,'1-zapasy'!I135))</f>
        <v>0 : 0</v>
      </c>
      <c r="H183" s="409"/>
    </row>
    <row r="184" spans="1:8" ht="13.5" thickBot="1" x14ac:dyDescent="0.25">
      <c r="A184" s="420"/>
      <c r="B184" s="246"/>
      <c r="C184" s="247" t="str">
        <f>CONCATENATE('1-zapasy'!D133,",",'1-zapasy'!E133,",",'1-zapasy'!F133,",",'1-zapasy'!G133,",",'1-zapasy'!H133)</f>
        <v>,,,,</v>
      </c>
      <c r="D184" s="247"/>
      <c r="E184" s="411"/>
      <c r="F184" s="412"/>
      <c r="G184" s="413"/>
      <c r="H184" s="414"/>
    </row>
    <row r="185" spans="1:8" ht="20.25" thickTop="1" thickBot="1" x14ac:dyDescent="0.25">
      <c r="A185" s="251"/>
      <c r="B185" s="252"/>
      <c r="C185" s="252"/>
      <c r="D185" s="252"/>
      <c r="E185" s="253"/>
      <c r="F185" s="261"/>
      <c r="G185" s="261"/>
      <c r="H185" s="261"/>
    </row>
    <row r="186" spans="1:8" ht="99.6" customHeight="1" thickTop="1" x14ac:dyDescent="0.2">
      <c r="A186" s="395" t="str">
        <f>CONCATENATE(A1,"                           ",'1-los'!F42)</f>
        <v>BTM Tišnov 5.9.2021                           skupina B12</v>
      </c>
      <c r="B186" s="248" t="e">
        <f>LEFT(A188,SEARCH(" ",A188))</f>
        <v>#VALUE!</v>
      </c>
      <c r="C186" s="249" t="e">
        <f>LEFT(A190,SEARCH(" ",A190))</f>
        <v>#VALUE!</v>
      </c>
      <c r="D186" s="249" t="e">
        <f>LEFT(A192,SEARCH(" ",A192))</f>
        <v>#VALUE!</v>
      </c>
      <c r="E186" s="250" t="e">
        <f>LEFT(A194,SEARCH(" ",A194))</f>
        <v>#VALUE!</v>
      </c>
      <c r="F186" s="262" t="s">
        <v>299</v>
      </c>
      <c r="G186" s="263" t="s">
        <v>300</v>
      </c>
      <c r="H186" s="264"/>
    </row>
    <row r="187" spans="1:8" ht="14.45" customHeight="1" thickBot="1" x14ac:dyDescent="0.25">
      <c r="A187" s="396"/>
      <c r="B187" s="230"/>
      <c r="C187" s="231"/>
      <c r="D187" s="231"/>
      <c r="E187" s="232"/>
      <c r="F187" s="257"/>
      <c r="G187" s="258"/>
      <c r="H187" s="259"/>
    </row>
    <row r="188" spans="1:8" ht="16.5" thickTop="1" x14ac:dyDescent="0.2">
      <c r="A188" s="392" t="str">
        <f>'1-los'!G43</f>
        <v/>
      </c>
      <c r="B188" s="397"/>
      <c r="C188" s="233" t="str">
        <f>CONCATENATE('1-zapasy'!I144," : ",'1-zapasy'!J144)</f>
        <v xml:space="preserve"> : </v>
      </c>
      <c r="D188" s="233" t="str">
        <f>CONCATENATE('1-zapasy'!J142," : ",'1-zapasy'!I142)</f>
        <v xml:space="preserve"> : </v>
      </c>
      <c r="E188" s="234" t="str">
        <f>CONCATENATE('1-zapasy'!I139," : ",'1-zapasy'!J139)</f>
        <v xml:space="preserve"> : </v>
      </c>
      <c r="F188" s="399">
        <f>IF('1-zapasy'!I139&gt;'1-zapasy'!J139,2,IF('1-zapasy'!I139&lt;'1-zapasy'!J139,1,0))+IF('1-zapasy'!J142&gt;'1-zapasy'!I142,2,IF('1-zapasy'!J142&lt;'1-zapasy'!I142,1,0))+IF('1-zapasy'!I144&gt;'1-zapasy'!J144,2,IF('1-zapasy'!I144&lt;'1-zapasy'!J144,1,0))</f>
        <v>0</v>
      </c>
      <c r="G188" s="401" t="str">
        <f>CONCATENATE(SUM('1-zapasy'!I139,'1-zapasy'!J142,'1-zapasy'!I144)," : ",SUM('1-zapasy'!J139,'1-zapasy'!I142,'1-zapasy'!J144))</f>
        <v>0 : 0</v>
      </c>
      <c r="H188" s="403"/>
    </row>
    <row r="189" spans="1:8" x14ac:dyDescent="0.2">
      <c r="A189" s="393"/>
      <c r="B189" s="398"/>
      <c r="C189" s="235" t="str">
        <f>CONCATENATE('1-zapasy'!D144,",",'1-zapasy'!E144,",",'1-zapasy'!F144,",",'1-zapasy'!G144,",",'1-zapasy'!H144)</f>
        <v>,,,,</v>
      </c>
      <c r="D189" s="235"/>
      <c r="E189" s="236" t="str">
        <f>CONCATENATE('1-zapasy'!D139,",",'1-zapasy'!E139,",",'1-zapasy'!F139,",",'1-zapasy'!G139,",",'1-zapasy'!H139)</f>
        <v>,,,,</v>
      </c>
      <c r="F189" s="400"/>
      <c r="G189" s="402"/>
      <c r="H189" s="404"/>
    </row>
    <row r="190" spans="1:8" ht="15.75" x14ac:dyDescent="0.2">
      <c r="A190" s="393" t="str">
        <f>'1-los'!G44</f>
        <v/>
      </c>
      <c r="B190" s="237" t="str">
        <f>CONCATENATE('1-zapasy'!J144," : ",'1-zapasy'!I144)</f>
        <v xml:space="preserve"> : </v>
      </c>
      <c r="C190" s="405"/>
      <c r="D190" s="238" t="str">
        <f>CONCATENATE('1-zapasy'!I140," : ",'1-zapasy'!J140)</f>
        <v xml:space="preserve"> : </v>
      </c>
      <c r="E190" s="239" t="str">
        <f>CONCATENATE('1-zapasy'!J141," : ",'1-zapasy'!I141)</f>
        <v xml:space="preserve"> : </v>
      </c>
      <c r="F190" s="407">
        <f>IF('1-zapasy'!I140&gt;'1-zapasy'!J140,2,IF('1-zapasy'!I140&lt;'1-zapasy'!J140,1,0))+IF('1-zapasy'!J141&gt;'1-zapasy'!I141,2,IF('1-zapasy'!J141&lt;'1-zapasy'!I141,1,0))+IF('1-zapasy'!J144&gt;'1-zapasy'!I144,2,IF('1-zapasy'!J144&lt;'1-zapasy'!I144,1,0))</f>
        <v>0</v>
      </c>
      <c r="G190" s="408" t="str">
        <f>CONCATENATE(SUM('1-zapasy'!I140,'1-zapasy'!J141,'1-zapasy'!J144)," : ",SUM('1-zapasy'!J140,'1-zapasy'!I141,'1-zapasy'!I144))</f>
        <v>0 : 0</v>
      </c>
      <c r="H190" s="409"/>
    </row>
    <row r="191" spans="1:8" x14ac:dyDescent="0.2">
      <c r="A191" s="393"/>
      <c r="B191" s="240"/>
      <c r="C191" s="406"/>
      <c r="D191" s="235" t="str">
        <f>CONCATENATE('1-zapasy'!D140,",",'1-zapasy'!E140,",",'1-zapasy'!F140,",",'1-zapasy'!G140,",",'1-zapasy'!H140)</f>
        <v>,,,,</v>
      </c>
      <c r="E191" s="236"/>
      <c r="F191" s="400"/>
      <c r="G191" s="402"/>
      <c r="H191" s="404"/>
    </row>
    <row r="192" spans="1:8" ht="15.75" x14ac:dyDescent="0.2">
      <c r="A192" s="393" t="str">
        <f>'1-los'!G45</f>
        <v/>
      </c>
      <c r="B192" s="237" t="str">
        <f>CONCATENATE('1-zapasy'!I142," : ",'1-zapasy'!J142)</f>
        <v xml:space="preserve"> : </v>
      </c>
      <c r="C192" s="238" t="str">
        <f>CONCATENATE('1-zapasy'!J140," : ",'1-zapasy'!I140)</f>
        <v xml:space="preserve"> : </v>
      </c>
      <c r="D192" s="405"/>
      <c r="E192" s="239" t="str">
        <f>CONCATENATE('1-zapasy'!I143," : ",'1-zapasy'!J143)</f>
        <v xml:space="preserve"> : </v>
      </c>
      <c r="F192" s="407">
        <f>IF('1-zapasy'!J140&gt;'1-zapasy'!I140,2,IF('1-zapasy'!J140&lt;'1-zapasy'!I140,1,0))+IF('1-zapasy'!I142&gt;'1-zapasy'!J142,2,IF('1-zapasy'!I142&lt;'1-zapasy'!J142,1,0))+IF('1-zapasy'!I143&gt;'1-zapasy'!J143,2,IF('1-zapasy'!I143&lt;'1-zapasy'!J143,1,0))</f>
        <v>0</v>
      </c>
      <c r="G192" s="408" t="str">
        <f>CONCATENATE(SUM('1-zapasy'!J140,'1-zapasy'!I142,'1-zapasy'!I143)," : ",SUM('1-zapasy'!I140,'1-zapasy'!J142,'1-zapasy'!J143))</f>
        <v>0 : 0</v>
      </c>
      <c r="H192" s="409"/>
    </row>
    <row r="193" spans="1:8" x14ac:dyDescent="0.2">
      <c r="A193" s="393"/>
      <c r="B193" s="240" t="str">
        <f>CONCATENATE('1-zapasy'!D142,",",'1-zapasy'!E142,",",'1-zapasy'!F142,",",'1-zapasy'!G142,",",'1-zapasy'!H142)</f>
        <v>,,,,</v>
      </c>
      <c r="C193" s="235"/>
      <c r="D193" s="406"/>
      <c r="E193" s="236" t="str">
        <f>CONCATENATE('1-zapasy'!D143,",",'1-zapasy'!E143,",",'1-zapasy'!F143,",",'1-zapasy'!G143,",",'1-zapasy'!H143)</f>
        <v>,,,,</v>
      </c>
      <c r="F193" s="400"/>
      <c r="G193" s="402"/>
      <c r="H193" s="404"/>
    </row>
    <row r="194" spans="1:8" ht="15.75" x14ac:dyDescent="0.2">
      <c r="A194" s="393" t="str">
        <f>'1-los'!G46</f>
        <v/>
      </c>
      <c r="B194" s="237" t="str">
        <f>CONCATENATE('1-zapasy'!J139," : ",'1-zapasy'!I139)</f>
        <v xml:space="preserve"> : </v>
      </c>
      <c r="C194" s="238" t="str">
        <f>CONCATENATE('1-zapasy'!I141," : ",'1-zapasy'!J141)</f>
        <v xml:space="preserve"> : </v>
      </c>
      <c r="D194" s="238" t="str">
        <f>CONCATENATE('1-zapasy'!J143," : ",'1-zapasy'!I143)</f>
        <v xml:space="preserve"> : </v>
      </c>
      <c r="E194" s="410"/>
      <c r="F194" s="407">
        <f>IF('1-zapasy'!J139&gt;'1-zapasy'!I139,2,IF('1-zapasy'!J139&lt;'1-zapasy'!I139,1,0))+IF('1-zapasy'!I141&gt;'1-zapasy'!J141,2,IF('1-zapasy'!I141&lt;'1-zapasy'!J141,1,0))+IF('1-zapasy'!J143&gt;'1-zapasy'!I143,2,IF('1-zapasy'!J143&lt;'1-zapasy'!I143,1,0))</f>
        <v>0</v>
      </c>
      <c r="G194" s="408" t="str">
        <f>CONCATENATE(SUM('1-zapasy'!J139,'1-zapasy'!I141,'1-zapasy'!J143)," : ",SUM('1-zapasy'!I139,'1-zapasy'!J141,'1-zapasy'!I143))</f>
        <v>0 : 0</v>
      </c>
      <c r="H194" s="409"/>
    </row>
    <row r="195" spans="1:8" ht="13.5" thickBot="1" x14ac:dyDescent="0.25">
      <c r="A195" s="415"/>
      <c r="B195" s="241"/>
      <c r="C195" s="242" t="str">
        <f>CONCATENATE('1-zapasy'!D141,",",'1-zapasy'!E141,",",'1-zapasy'!F141,",",'1-zapasy'!G141,",",'1-zapasy'!H141)</f>
        <v>,,,,</v>
      </c>
      <c r="D195" s="242"/>
      <c r="E195" s="416"/>
      <c r="F195" s="417"/>
      <c r="G195" s="418"/>
      <c r="H195" s="419"/>
    </row>
    <row r="196" spans="1:8" ht="14.25" thickTop="1" thickBot="1" x14ac:dyDescent="0.25"/>
    <row r="197" spans="1:8" ht="99.6" customHeight="1" thickTop="1" x14ac:dyDescent="0.2">
      <c r="A197" s="395" t="str">
        <f>CONCATENATE(A1,"                           ",'1-los'!D47)</f>
        <v>BTM Tišnov 5.9.2021                           skupina B13</v>
      </c>
      <c r="B197" s="243" t="e">
        <f>LEFT(A199,SEARCH(" ",A199))</f>
        <v>#VALUE!</v>
      </c>
      <c r="C197" s="244" t="e">
        <f>LEFT(A201,SEARCH(" ",A201))</f>
        <v>#VALUE!</v>
      </c>
      <c r="D197" s="244" t="e">
        <f>LEFT(A203,SEARCH(" ",A203))</f>
        <v>#VALUE!</v>
      </c>
      <c r="E197" s="245" t="e">
        <f>LEFT(A205,SEARCH(" ",A205))</f>
        <v>#VALUE!</v>
      </c>
      <c r="F197" s="254" t="s">
        <v>299</v>
      </c>
      <c r="G197" s="255" t="s">
        <v>300</v>
      </c>
      <c r="H197" s="256"/>
    </row>
    <row r="198" spans="1:8" ht="14.45" customHeight="1" thickBot="1" x14ac:dyDescent="0.25">
      <c r="A198" s="396"/>
      <c r="B198" s="230"/>
      <c r="C198" s="231"/>
      <c r="D198" s="231"/>
      <c r="E198" s="232"/>
      <c r="F198" s="257"/>
      <c r="G198" s="258"/>
      <c r="H198" s="259"/>
    </row>
    <row r="199" spans="1:8" ht="16.149999999999999" customHeight="1" thickTop="1" x14ac:dyDescent="0.2">
      <c r="A199" s="392" t="str">
        <f>'1-los'!E48</f>
        <v/>
      </c>
      <c r="B199" s="397"/>
      <c r="C199" s="233" t="str">
        <f>CONCATENATE('1-zapasy'!I152," : ",'1-zapasy'!J152)</f>
        <v xml:space="preserve"> : </v>
      </c>
      <c r="D199" s="233" t="str">
        <f>CONCATENATE('1-zapasy'!J150," : ",'1-zapasy'!I150)</f>
        <v xml:space="preserve"> : </v>
      </c>
      <c r="E199" s="234" t="str">
        <f>CONCATENATE('1-zapasy'!I147," : ",'1-zapasy'!J147)</f>
        <v xml:space="preserve"> : </v>
      </c>
      <c r="F199" s="399">
        <f>IF('1-zapasy'!I147&gt;'1-zapasy'!J147,2,IF('1-zapasy'!I147&lt;'1-zapasy'!J147,1,0))+IF('1-zapasy'!J150&gt;'1-zapasy'!I150,2,IF('1-zapasy'!J150&lt;'1-zapasy'!I150,1,0))+IF('1-zapasy'!I152&gt;'1-zapasy'!J152,2,IF('1-zapasy'!I152&lt;'1-zapasy'!J152,1,0))</f>
        <v>0</v>
      </c>
      <c r="G199" s="401" t="str">
        <f>CONCATENATE(SUM('1-zapasy'!I147,'1-zapasy'!J150,'1-zapasy'!I152)," : ",SUM('1-zapasy'!J147,'1-zapasy'!I150,'1-zapasy'!J152))</f>
        <v>0 : 0</v>
      </c>
      <c r="H199" s="403"/>
    </row>
    <row r="200" spans="1:8" ht="13.15" customHeight="1" x14ac:dyDescent="0.2">
      <c r="A200" s="393"/>
      <c r="B200" s="398"/>
      <c r="C200" s="235" t="str">
        <f>CONCATENATE('1-zapasy'!D152,",",'1-zapasy'!E152,",",'1-zapasy'!F152,",",'1-zapasy'!G152,",",'1-zapasy'!H152)</f>
        <v>,,,,</v>
      </c>
      <c r="D200" s="235"/>
      <c r="E200" s="236" t="str">
        <f>CONCATENATE('1-zapasy'!D147,",",'1-zapasy'!E147,",",'1-zapasy'!F147,",",'1-zapasy'!G147,",",'1-zapasy'!H147)</f>
        <v>,,,,</v>
      </c>
      <c r="F200" s="400"/>
      <c r="G200" s="402"/>
      <c r="H200" s="404"/>
    </row>
    <row r="201" spans="1:8" ht="15.6" customHeight="1" x14ac:dyDescent="0.2">
      <c r="A201" s="393" t="str">
        <f>'1-los'!E49</f>
        <v/>
      </c>
      <c r="B201" s="237" t="str">
        <f>CONCATENATE('1-zapasy'!J152," : ",'1-zapasy'!I152)</f>
        <v xml:space="preserve"> : </v>
      </c>
      <c r="C201" s="405"/>
      <c r="D201" s="238" t="str">
        <f>CONCATENATE('1-zapasy'!I148," : ",'1-zapasy'!J148)</f>
        <v xml:space="preserve"> : </v>
      </c>
      <c r="E201" s="239" t="str">
        <f>CONCATENATE('1-zapasy'!J149," : ",'1-zapasy'!I149)</f>
        <v xml:space="preserve"> : </v>
      </c>
      <c r="F201" s="407">
        <f>IF('1-zapasy'!I148&gt;'1-zapasy'!J148,2,IF('1-zapasy'!I148&lt;'1-zapasy'!J148,1,0))+IF('1-zapasy'!J149&gt;'1-zapasy'!I149,2,IF('1-zapasy'!J149&lt;'1-zapasy'!I149,1,0))+IF('1-zapasy'!J152&gt;'1-zapasy'!I152,2,IF('1-zapasy'!J152&lt;'1-zapasy'!I152,1,0))</f>
        <v>0</v>
      </c>
      <c r="G201" s="408" t="str">
        <f>CONCATENATE(SUM('1-zapasy'!I148,'1-zapasy'!J149,'1-zapasy'!J152)," : ",SUM('1-zapasy'!J148,'1-zapasy'!I149,'1-zapasy'!I152))</f>
        <v>0 : 0</v>
      </c>
      <c r="H201" s="409"/>
    </row>
    <row r="202" spans="1:8" ht="13.15" customHeight="1" x14ac:dyDescent="0.2">
      <c r="A202" s="393"/>
      <c r="B202" s="240"/>
      <c r="C202" s="406"/>
      <c r="D202" s="235" t="str">
        <f>CONCATENATE('1-zapasy'!D148,",",'1-zapasy'!E148,",",'1-zapasy'!F148,",",'1-zapasy'!G148,",",'1-zapasy'!H148)</f>
        <v>,,,,</v>
      </c>
      <c r="E202" s="236"/>
      <c r="F202" s="400"/>
      <c r="G202" s="402"/>
      <c r="H202" s="404"/>
    </row>
    <row r="203" spans="1:8" ht="15.6" customHeight="1" x14ac:dyDescent="0.2">
      <c r="A203" s="393" t="str">
        <f>'1-los'!E50</f>
        <v/>
      </c>
      <c r="B203" s="237" t="str">
        <f>CONCATENATE('1-zapasy'!I150," : ",'1-zapasy'!J150)</f>
        <v xml:space="preserve"> : </v>
      </c>
      <c r="C203" s="238" t="str">
        <f>CONCATENATE('1-zapasy'!J148," : ",'1-zapasy'!I148)</f>
        <v xml:space="preserve"> : </v>
      </c>
      <c r="D203" s="405"/>
      <c r="E203" s="239" t="str">
        <f>CONCATENATE('1-zapasy'!I151," : ",'1-zapasy'!J151)</f>
        <v xml:space="preserve"> : </v>
      </c>
      <c r="F203" s="407">
        <f>IF('1-zapasy'!J148&gt;'1-zapasy'!I148,2,IF('1-zapasy'!J148&lt;'1-zapasy'!I148,1,0))+IF('1-zapasy'!I150&gt;'1-zapasy'!J150,2,IF('1-zapasy'!I150&lt;'1-zapasy'!J150,1,0))+IF('1-zapasy'!I151&gt;'1-zapasy'!J151,2,IF('1-zapasy'!I151&lt;'1-zapasy'!J151,1,0))</f>
        <v>0</v>
      </c>
      <c r="G203" s="408" t="str">
        <f>CONCATENATE(SUM('1-zapasy'!J148,'1-zapasy'!I150,'1-zapasy'!I151)," : ",SUM('1-zapasy'!I148,'1-zapasy'!J150,'1-zapasy'!J151))</f>
        <v>0 : 0</v>
      </c>
      <c r="H203" s="409"/>
    </row>
    <row r="204" spans="1:8" ht="13.15" customHeight="1" x14ac:dyDescent="0.2">
      <c r="A204" s="393"/>
      <c r="B204" s="240" t="str">
        <f>CONCATENATE('1-zapasy'!D150,",",'1-zapasy'!E150,",",'1-zapasy'!F150,",",'1-zapasy'!G150,",",'1-zapasy'!H150)</f>
        <v>,,,,</v>
      </c>
      <c r="C204" s="235"/>
      <c r="D204" s="406"/>
      <c r="E204" s="236" t="str">
        <f>CONCATENATE('1-zapasy'!D151,",",'1-zapasy'!E151,",",'1-zapasy'!F151,",",'1-zapasy'!G151,",",'1-zapasy'!H151)</f>
        <v>,,,,</v>
      </c>
      <c r="F204" s="400"/>
      <c r="G204" s="402"/>
      <c r="H204" s="404"/>
    </row>
    <row r="205" spans="1:8" ht="15.6" customHeight="1" x14ac:dyDescent="0.2">
      <c r="A205" s="393" t="str">
        <f>'1-los'!E51</f>
        <v/>
      </c>
      <c r="B205" s="237" t="str">
        <f>CONCATENATE('1-zapasy'!J147," : ",'1-zapasy'!I147)</f>
        <v xml:space="preserve"> : </v>
      </c>
      <c r="C205" s="238" t="str">
        <f>CONCATENATE('1-zapasy'!I149," : ",'1-zapasy'!J149)</f>
        <v xml:space="preserve"> : </v>
      </c>
      <c r="D205" s="238" t="str">
        <f>CONCATENATE('1-zapasy'!J151," : ",'1-zapasy'!I151)</f>
        <v xml:space="preserve"> : </v>
      </c>
      <c r="E205" s="410"/>
      <c r="F205" s="407">
        <f>IF('1-zapasy'!J147&gt;'1-zapasy'!I147,2,IF('1-zapasy'!J147&lt;'1-zapasy'!I147,1,0))+IF('1-zapasy'!I149&gt;'1-zapasy'!J149,2,IF('1-zapasy'!I149&lt;'1-zapasy'!J149,1,0))+IF('1-zapasy'!J151&gt;'1-zapasy'!I151,2,IF('1-zapasy'!J151&lt;'1-zapasy'!I151,1,0))</f>
        <v>0</v>
      </c>
      <c r="G205" s="408" t="str">
        <f>CONCATENATE(SUM('1-zapasy'!J147,'1-zapasy'!I149,'1-zapasy'!J151)," : ",SUM('1-zapasy'!I147,'1-zapasy'!J149,'1-zapasy'!I151))</f>
        <v>0 : 0</v>
      </c>
      <c r="H205" s="409"/>
    </row>
    <row r="206" spans="1:8" ht="13.9" customHeight="1" thickBot="1" x14ac:dyDescent="0.25">
      <c r="A206" s="415"/>
      <c r="B206" s="241"/>
      <c r="C206" s="242" t="str">
        <f>CONCATENATE('1-zapasy'!D149,",",'1-zapasy'!E149,",",'1-zapasy'!F149,",",'1-zapasy'!G149,",",'1-zapasy'!H149)</f>
        <v>,,,,</v>
      </c>
      <c r="D206" s="242"/>
      <c r="E206" s="416"/>
      <c r="F206" s="417"/>
      <c r="G206" s="418"/>
      <c r="H206" s="419"/>
    </row>
    <row r="207" spans="1:8" ht="14.25" thickTop="1" thickBot="1" x14ac:dyDescent="0.25"/>
    <row r="208" spans="1:8" ht="99.6" customHeight="1" thickTop="1" x14ac:dyDescent="0.2">
      <c r="A208" s="395" t="str">
        <f>CONCATENATE(A1,"                           ",'1-los'!F47)</f>
        <v>BTM Tišnov 5.9.2021                           skupina B14</v>
      </c>
      <c r="B208" s="243" t="e">
        <f>LEFT(A210,SEARCH(" ",A210))</f>
        <v>#VALUE!</v>
      </c>
      <c r="C208" s="244" t="e">
        <f>LEFT(A212,SEARCH(" ",A212))</f>
        <v>#VALUE!</v>
      </c>
      <c r="D208" s="244" t="e">
        <f>LEFT(A214,SEARCH(" ",A214))</f>
        <v>#VALUE!</v>
      </c>
      <c r="E208" s="245" t="e">
        <f>LEFT(A216,SEARCH(" ",A216))</f>
        <v>#VALUE!</v>
      </c>
      <c r="F208" s="254" t="s">
        <v>299</v>
      </c>
      <c r="G208" s="255" t="s">
        <v>300</v>
      </c>
      <c r="H208" s="256"/>
    </row>
    <row r="209" spans="1:8" ht="14.45" customHeight="1" thickBot="1" x14ac:dyDescent="0.25">
      <c r="A209" s="396"/>
      <c r="B209" s="230"/>
      <c r="C209" s="231"/>
      <c r="D209" s="231"/>
      <c r="E209" s="232"/>
      <c r="F209" s="257"/>
      <c r="G209" s="258"/>
      <c r="H209" s="259"/>
    </row>
    <row r="210" spans="1:8" ht="16.899999999999999" customHeight="1" thickTop="1" x14ac:dyDescent="0.2">
      <c r="A210" s="392" t="str">
        <f>'1-los'!G48</f>
        <v/>
      </c>
      <c r="B210" s="397"/>
      <c r="C210" s="233" t="str">
        <f>CONCATENATE('1-zapasy'!I160," : ",'1-zapasy'!J160)</f>
        <v xml:space="preserve"> : </v>
      </c>
      <c r="D210" s="233" t="str">
        <f>CONCATENATE('1-zapasy'!J158," : ",'1-zapasy'!I158)</f>
        <v xml:space="preserve"> : </v>
      </c>
      <c r="E210" s="234" t="str">
        <f>CONCATENATE('1-zapasy'!I155," : ",'1-zapasy'!J155)</f>
        <v xml:space="preserve"> : </v>
      </c>
      <c r="F210" s="399">
        <f>IF('1-zapasy'!I155&gt;'1-zapasy'!J155,2,IF('1-zapasy'!I155&lt;'1-zapasy'!J155,1,0))+IF('1-zapasy'!J158&gt;'1-zapasy'!I158,2,IF('1-zapasy'!J158&lt;'1-zapasy'!I158,1,0))+IF('1-zapasy'!I160&gt;'1-zapasy'!J160,2,IF('1-zapasy'!I160&lt;'1-zapasy'!J160,1,0))</f>
        <v>0</v>
      </c>
      <c r="G210" s="401" t="str">
        <f>CONCATENATE(SUM('1-zapasy'!I155,'1-zapasy'!J158,'1-zapasy'!I160)," : ",SUM('1-zapasy'!J155,'1-zapasy'!I158,'1-zapasy'!J160))</f>
        <v>0 : 0</v>
      </c>
      <c r="H210" s="403"/>
    </row>
    <row r="211" spans="1:8" ht="16.149999999999999" customHeight="1" x14ac:dyDescent="0.2">
      <c r="A211" s="393"/>
      <c r="B211" s="398"/>
      <c r="C211" s="235" t="str">
        <f>CONCATENATE('1-zapasy'!D160,",",'1-zapasy'!E160,",",'1-zapasy'!F160,",",'1-zapasy'!G160,",",'1-zapasy'!H160)</f>
        <v>,,,,</v>
      </c>
      <c r="D211" s="235"/>
      <c r="E211" s="236" t="str">
        <f>CONCATENATE('1-zapasy'!D155,",",'1-zapasy'!E155,",",'1-zapasy'!F155,",",'1-zapasy'!G155,",",'1-zapasy'!H155)</f>
        <v>,,,,</v>
      </c>
      <c r="F211" s="400"/>
      <c r="G211" s="402"/>
      <c r="H211" s="404"/>
    </row>
    <row r="212" spans="1:8" ht="15.6" customHeight="1" x14ac:dyDescent="0.2">
      <c r="A212" s="393" t="str">
        <f>'1-los'!G49</f>
        <v/>
      </c>
      <c r="B212" s="237" t="str">
        <f>CONCATENATE('1-zapasy'!J160," : ",'1-zapasy'!I160)</f>
        <v xml:space="preserve"> : </v>
      </c>
      <c r="C212" s="405"/>
      <c r="D212" s="238" t="str">
        <f>CONCATENATE('1-zapasy'!I156," : ",'1-zapasy'!J156)</f>
        <v xml:space="preserve"> : </v>
      </c>
      <c r="E212" s="239" t="str">
        <f>CONCATENATE('1-zapasy'!J157," : ",'1-zapasy'!I157)</f>
        <v xml:space="preserve"> : </v>
      </c>
      <c r="F212" s="407">
        <f>IF('1-zapasy'!I156&gt;'1-zapasy'!J156,2,IF('1-zapasy'!I156&lt;'1-zapasy'!J156,1,0))+IF('1-zapasy'!J157&gt;'1-zapasy'!I157,2,IF('1-zapasy'!J157&lt;'1-zapasy'!I157,1,0))+IF('1-zapasy'!J160&gt;'1-zapasy'!I160,2,IF('1-zapasy'!J160&lt;'1-zapasy'!I160,1,0))</f>
        <v>0</v>
      </c>
      <c r="G212" s="408" t="str">
        <f>CONCATENATE(SUM('1-zapasy'!I156,'1-zapasy'!J157,'1-zapasy'!J160)," : ",SUM('1-zapasy'!J156,'1-zapasy'!I157,'1-zapasy'!I160))</f>
        <v>0 : 0</v>
      </c>
      <c r="H212" s="409"/>
    </row>
    <row r="213" spans="1:8" ht="15.6" customHeight="1" x14ac:dyDescent="0.2">
      <c r="A213" s="393"/>
      <c r="B213" s="240"/>
      <c r="C213" s="406"/>
      <c r="D213" s="235" t="str">
        <f>CONCATENATE('1-zapasy'!D156,",",'1-zapasy'!E156,",",'1-zapasy'!F156,",",'1-zapasy'!G156,",",'1-zapasy'!H156)</f>
        <v>,,,,</v>
      </c>
      <c r="E213" s="236"/>
      <c r="F213" s="400"/>
      <c r="G213" s="402"/>
      <c r="H213" s="404"/>
    </row>
    <row r="214" spans="1:8" ht="15.6" customHeight="1" x14ac:dyDescent="0.2">
      <c r="A214" s="393" t="str">
        <f>'1-los'!G50</f>
        <v/>
      </c>
      <c r="B214" s="237" t="str">
        <f>CONCATENATE('1-zapasy'!I158," : ",'1-zapasy'!J158)</f>
        <v xml:space="preserve"> : </v>
      </c>
      <c r="C214" s="238" t="str">
        <f>CONCATENATE('1-zapasy'!J156," : ",'1-zapasy'!I156)</f>
        <v xml:space="preserve"> : </v>
      </c>
      <c r="D214" s="405"/>
      <c r="E214" s="239" t="str">
        <f>CONCATENATE('1-zapasy'!I159," : ",'1-zapasy'!J159)</f>
        <v xml:space="preserve"> : </v>
      </c>
      <c r="F214" s="407">
        <f>IF('1-zapasy'!J156&gt;'1-zapasy'!I156,2,IF('1-zapasy'!J156&lt;'1-zapasy'!I156,1,0))+IF('1-zapasy'!I158&gt;'1-zapasy'!J158,2,IF('1-zapasy'!I158&lt;'1-zapasy'!J158,1,0))+IF('1-zapasy'!I159&gt;'1-zapasy'!J159,2,IF('1-zapasy'!I159&lt;'1-zapasy'!J159,1,0))</f>
        <v>0</v>
      </c>
      <c r="G214" s="408" t="str">
        <f>CONCATENATE(SUM('1-zapasy'!J156,'1-zapasy'!I158,'1-zapasy'!I159)," : ",SUM('1-zapasy'!I156,'1-zapasy'!J158,'1-zapasy'!J159))</f>
        <v>0 : 0</v>
      </c>
      <c r="H214" s="409"/>
    </row>
    <row r="215" spans="1:8" ht="15.6" customHeight="1" x14ac:dyDescent="0.2">
      <c r="A215" s="393"/>
      <c r="B215" s="240" t="str">
        <f>CONCATENATE('1-zapasy'!D158,",",'1-zapasy'!E158,",",'1-zapasy'!F158,",",'1-zapasy'!G158,",",'1-zapasy'!H158)</f>
        <v>,,,,</v>
      </c>
      <c r="C215" s="235"/>
      <c r="D215" s="406"/>
      <c r="E215" s="236" t="str">
        <f>CONCATENATE('1-zapasy'!D159,",",'1-zapasy'!E159,",",'1-zapasy'!F159,",",'1-zapasy'!G159,",",'1-zapasy'!H159)</f>
        <v>,,,,</v>
      </c>
      <c r="F215" s="400"/>
      <c r="G215" s="402"/>
      <c r="H215" s="404"/>
    </row>
    <row r="216" spans="1:8" ht="15.6" customHeight="1" x14ac:dyDescent="0.2">
      <c r="A216" s="393" t="str">
        <f>'1-los'!G51</f>
        <v/>
      </c>
      <c r="B216" s="237" t="str">
        <f>CONCATENATE('1-zapasy'!J155," : ",'1-zapasy'!I155)</f>
        <v xml:space="preserve"> : </v>
      </c>
      <c r="C216" s="238" t="str">
        <f>CONCATENATE('1-zapasy'!I157," : ",'1-zapasy'!J157)</f>
        <v xml:space="preserve"> : </v>
      </c>
      <c r="D216" s="238" t="str">
        <f>CONCATENATE('1-zapasy'!J159," : ",'1-zapasy'!I159)</f>
        <v xml:space="preserve"> : </v>
      </c>
      <c r="E216" s="410"/>
      <c r="F216" s="407">
        <f>IF('1-zapasy'!J155&gt;'1-zapasy'!I155,2,IF('1-zapasy'!J155&lt;'1-zapasy'!I155,1,0))+IF('1-zapasy'!I157&gt;'1-zapasy'!J157,2,IF('1-zapasy'!I157&lt;'1-zapasy'!J157,1,0))+IF('1-zapasy'!J159&gt;'1-zapasy'!I159,2,IF('1-zapasy'!J159&lt;'1-zapasy'!I159,1,0))</f>
        <v>0</v>
      </c>
      <c r="G216" s="408" t="str">
        <f>CONCATENATE(SUM('1-zapasy'!J155,'1-zapasy'!I157,'1-zapasy'!J159)," : ",SUM('1-zapasy'!I155,'1-zapasy'!J157,'1-zapasy'!I159))</f>
        <v>0 : 0</v>
      </c>
      <c r="H216" s="409"/>
    </row>
    <row r="217" spans="1:8" ht="16.149999999999999" customHeight="1" thickBot="1" x14ac:dyDescent="0.25">
      <c r="A217" s="415"/>
      <c r="B217" s="241"/>
      <c r="C217" s="242" t="str">
        <f>CONCATENATE('1-zapasy'!D157,",",'1-zapasy'!E157,",",'1-zapasy'!F157,",",'1-zapasy'!G157,",",'1-zapasy'!H157)</f>
        <v>,,,,</v>
      </c>
      <c r="D217" s="242"/>
      <c r="E217" s="416"/>
      <c r="F217" s="417"/>
      <c r="G217" s="418"/>
      <c r="H217" s="419"/>
    </row>
    <row r="218" spans="1:8" ht="13.5" thickTop="1" x14ac:dyDescent="0.2"/>
  </sheetData>
  <mergeCells count="421">
    <mergeCell ref="A2:A3"/>
    <mergeCell ref="B4:B5"/>
    <mergeCell ref="A4:A5"/>
    <mergeCell ref="A6:A7"/>
    <mergeCell ref="A8:A9"/>
    <mergeCell ref="A10:A11"/>
    <mergeCell ref="H6:H7"/>
    <mergeCell ref="H10:H11"/>
    <mergeCell ref="H8:H9"/>
    <mergeCell ref="G10:G11"/>
    <mergeCell ref="F10:F11"/>
    <mergeCell ref="C6:C7"/>
    <mergeCell ref="D8:D9"/>
    <mergeCell ref="E10:E11"/>
    <mergeCell ref="F4:F5"/>
    <mergeCell ref="G4:G5"/>
    <mergeCell ref="H4:H5"/>
    <mergeCell ref="F6:F7"/>
    <mergeCell ref="G6:G7"/>
    <mergeCell ref="F8:F9"/>
    <mergeCell ref="G8:G9"/>
    <mergeCell ref="A15:A16"/>
    <mergeCell ref="B15:B16"/>
    <mergeCell ref="F15:F16"/>
    <mergeCell ref="G15:G16"/>
    <mergeCell ref="H15:H16"/>
    <mergeCell ref="A17:A18"/>
    <mergeCell ref="C17:C18"/>
    <mergeCell ref="F17:F18"/>
    <mergeCell ref="G17:G18"/>
    <mergeCell ref="H17:H18"/>
    <mergeCell ref="A24:A25"/>
    <mergeCell ref="A19:A20"/>
    <mergeCell ref="D19:D20"/>
    <mergeCell ref="F19:F20"/>
    <mergeCell ref="G19:G20"/>
    <mergeCell ref="H19:H20"/>
    <mergeCell ref="A21:A22"/>
    <mergeCell ref="E21:E22"/>
    <mergeCell ref="F21:F22"/>
    <mergeCell ref="G21:G22"/>
    <mergeCell ref="H21:H22"/>
    <mergeCell ref="A26:A27"/>
    <mergeCell ref="B26:B27"/>
    <mergeCell ref="F26:F27"/>
    <mergeCell ref="G26:G27"/>
    <mergeCell ref="H26:H27"/>
    <mergeCell ref="A28:A29"/>
    <mergeCell ref="C28:C29"/>
    <mergeCell ref="F28:F29"/>
    <mergeCell ref="G28:G29"/>
    <mergeCell ref="H28:H29"/>
    <mergeCell ref="A30:A31"/>
    <mergeCell ref="D30:D31"/>
    <mergeCell ref="F30:F31"/>
    <mergeCell ref="G30:G31"/>
    <mergeCell ref="H30:H31"/>
    <mergeCell ref="A32:A33"/>
    <mergeCell ref="E32:E33"/>
    <mergeCell ref="F32:F33"/>
    <mergeCell ref="G32:G33"/>
    <mergeCell ref="H32:H33"/>
    <mergeCell ref="H49:H50"/>
    <mergeCell ref="A51:A52"/>
    <mergeCell ref="D51:D52"/>
    <mergeCell ref="F51:F52"/>
    <mergeCell ref="G51:G52"/>
    <mergeCell ref="H51:H52"/>
    <mergeCell ref="A45:A46"/>
    <mergeCell ref="A47:A48"/>
    <mergeCell ref="B47:B48"/>
    <mergeCell ref="F47:F48"/>
    <mergeCell ref="G47:G48"/>
    <mergeCell ref="H47:H48"/>
    <mergeCell ref="D62:D63"/>
    <mergeCell ref="F62:F63"/>
    <mergeCell ref="G62:G63"/>
    <mergeCell ref="A49:A50"/>
    <mergeCell ref="C49:C50"/>
    <mergeCell ref="F49:F50"/>
    <mergeCell ref="G49:G50"/>
    <mergeCell ref="G64:G65"/>
    <mergeCell ref="A58:A59"/>
    <mergeCell ref="B58:B59"/>
    <mergeCell ref="F58:F59"/>
    <mergeCell ref="G58:G59"/>
    <mergeCell ref="A53:A54"/>
    <mergeCell ref="E53:E54"/>
    <mergeCell ref="F53:F54"/>
    <mergeCell ref="G53:G54"/>
    <mergeCell ref="G60:G61"/>
    <mergeCell ref="A13:A14"/>
    <mergeCell ref="A43:A44"/>
    <mergeCell ref="E43:E44"/>
    <mergeCell ref="F43:F44"/>
    <mergeCell ref="G43:G44"/>
    <mergeCell ref="A92:A93"/>
    <mergeCell ref="C92:C93"/>
    <mergeCell ref="F92:F93"/>
    <mergeCell ref="G92:G93"/>
    <mergeCell ref="A88:A89"/>
    <mergeCell ref="A90:A91"/>
    <mergeCell ref="B90:B91"/>
    <mergeCell ref="F90:F91"/>
    <mergeCell ref="G90:G91"/>
    <mergeCell ref="A73:A74"/>
    <mergeCell ref="D73:D74"/>
    <mergeCell ref="F73:F74"/>
    <mergeCell ref="G73:G74"/>
    <mergeCell ref="A75:A76"/>
    <mergeCell ref="E75:E76"/>
    <mergeCell ref="F75:F76"/>
    <mergeCell ref="G75:G76"/>
    <mergeCell ref="A86:A87"/>
    <mergeCell ref="E86:E87"/>
    <mergeCell ref="H53:H54"/>
    <mergeCell ref="A56:A57"/>
    <mergeCell ref="A96:A97"/>
    <mergeCell ref="E96:E97"/>
    <mergeCell ref="F96:F97"/>
    <mergeCell ref="G96:G97"/>
    <mergeCell ref="H96:H97"/>
    <mergeCell ref="H92:H93"/>
    <mergeCell ref="A94:A95"/>
    <mergeCell ref="D94:D95"/>
    <mergeCell ref="F94:F95"/>
    <mergeCell ref="G94:G95"/>
    <mergeCell ref="H94:H95"/>
    <mergeCell ref="H90:H91"/>
    <mergeCell ref="H73:H74"/>
    <mergeCell ref="H75:H76"/>
    <mergeCell ref="F86:F87"/>
    <mergeCell ref="G86:G87"/>
    <mergeCell ref="H86:H87"/>
    <mergeCell ref="A82:A83"/>
    <mergeCell ref="H58:H59"/>
    <mergeCell ref="A60:A61"/>
    <mergeCell ref="C60:C61"/>
    <mergeCell ref="F60:F61"/>
    <mergeCell ref="H41:H42"/>
    <mergeCell ref="A35:A36"/>
    <mergeCell ref="A37:A38"/>
    <mergeCell ref="B37:B38"/>
    <mergeCell ref="F37:F38"/>
    <mergeCell ref="G37:G38"/>
    <mergeCell ref="H37:H38"/>
    <mergeCell ref="H43:H44"/>
    <mergeCell ref="A39:A40"/>
    <mergeCell ref="C39:C40"/>
    <mergeCell ref="F39:F40"/>
    <mergeCell ref="G39:G40"/>
    <mergeCell ref="H39:H40"/>
    <mergeCell ref="A41:A42"/>
    <mergeCell ref="D41:D42"/>
    <mergeCell ref="F41:F42"/>
    <mergeCell ref="G41:G42"/>
    <mergeCell ref="H60:H61"/>
    <mergeCell ref="H62:H63"/>
    <mergeCell ref="A64:A65"/>
    <mergeCell ref="E64:E65"/>
    <mergeCell ref="F64:F65"/>
    <mergeCell ref="H64:H65"/>
    <mergeCell ref="F80:F81"/>
    <mergeCell ref="G80:G81"/>
    <mergeCell ref="H80:H81"/>
    <mergeCell ref="A78:A79"/>
    <mergeCell ref="A80:A81"/>
    <mergeCell ref="B80:B81"/>
    <mergeCell ref="A69:A70"/>
    <mergeCell ref="B69:B70"/>
    <mergeCell ref="F69:F70"/>
    <mergeCell ref="G69:G70"/>
    <mergeCell ref="H69:H70"/>
    <mergeCell ref="A71:A72"/>
    <mergeCell ref="C71:C72"/>
    <mergeCell ref="F71:F72"/>
    <mergeCell ref="G71:G72"/>
    <mergeCell ref="H71:H72"/>
    <mergeCell ref="A67:A68"/>
    <mergeCell ref="A62:A63"/>
    <mergeCell ref="H82:H83"/>
    <mergeCell ref="A84:A85"/>
    <mergeCell ref="D84:D85"/>
    <mergeCell ref="F84:F85"/>
    <mergeCell ref="G84:G85"/>
    <mergeCell ref="H84:H85"/>
    <mergeCell ref="C82:C83"/>
    <mergeCell ref="F82:F83"/>
    <mergeCell ref="G82:G83"/>
    <mergeCell ref="H114:H115"/>
    <mergeCell ref="H112:H113"/>
    <mergeCell ref="A121:A122"/>
    <mergeCell ref="A99:A100"/>
    <mergeCell ref="A101:A102"/>
    <mergeCell ref="B101:B102"/>
    <mergeCell ref="F101:F102"/>
    <mergeCell ref="G101:G102"/>
    <mergeCell ref="H101:H102"/>
    <mergeCell ref="A103:A104"/>
    <mergeCell ref="C103:C104"/>
    <mergeCell ref="F103:F104"/>
    <mergeCell ref="G103:G104"/>
    <mergeCell ref="H103:H104"/>
    <mergeCell ref="A105:A106"/>
    <mergeCell ref="D105:D106"/>
    <mergeCell ref="F105:F106"/>
    <mergeCell ref="G105:G106"/>
    <mergeCell ref="H105:H106"/>
    <mergeCell ref="A107:A108"/>
    <mergeCell ref="E107:E108"/>
    <mergeCell ref="F107:F108"/>
    <mergeCell ref="G107:G108"/>
    <mergeCell ref="H107:H108"/>
    <mergeCell ref="A110:A111"/>
    <mergeCell ref="A112:A113"/>
    <mergeCell ref="B112:B113"/>
    <mergeCell ref="F112:F113"/>
    <mergeCell ref="G112:G113"/>
    <mergeCell ref="A118:A119"/>
    <mergeCell ref="E118:E119"/>
    <mergeCell ref="F118:F119"/>
    <mergeCell ref="G118:G119"/>
    <mergeCell ref="A114:A115"/>
    <mergeCell ref="C114:C115"/>
    <mergeCell ref="F114:F115"/>
    <mergeCell ref="G114:G115"/>
    <mergeCell ref="A132:A133"/>
    <mergeCell ref="A134:A135"/>
    <mergeCell ref="B134:B135"/>
    <mergeCell ref="F134:F135"/>
    <mergeCell ref="G134:G135"/>
    <mergeCell ref="H134:H135"/>
    <mergeCell ref="A116:A117"/>
    <mergeCell ref="D116:D117"/>
    <mergeCell ref="F116:F117"/>
    <mergeCell ref="G116:G117"/>
    <mergeCell ref="H116:H117"/>
    <mergeCell ref="H118:H119"/>
    <mergeCell ref="A127:A128"/>
    <mergeCell ref="D127:D128"/>
    <mergeCell ref="F127:F128"/>
    <mergeCell ref="G127:G128"/>
    <mergeCell ref="H127:H128"/>
    <mergeCell ref="A129:A130"/>
    <mergeCell ref="E129:E130"/>
    <mergeCell ref="F129:F130"/>
    <mergeCell ref="G129:G130"/>
    <mergeCell ref="H129:H130"/>
    <mergeCell ref="A123:A124"/>
    <mergeCell ref="B123:B124"/>
    <mergeCell ref="H145:H146"/>
    <mergeCell ref="H151:H152"/>
    <mergeCell ref="A147:A148"/>
    <mergeCell ref="C147:C148"/>
    <mergeCell ref="F147:F148"/>
    <mergeCell ref="G147:G148"/>
    <mergeCell ref="H147:H148"/>
    <mergeCell ref="A149:A150"/>
    <mergeCell ref="D149:D150"/>
    <mergeCell ref="F149:F150"/>
    <mergeCell ref="H149:H150"/>
    <mergeCell ref="A154:A155"/>
    <mergeCell ref="A151:A152"/>
    <mergeCell ref="E151:E152"/>
    <mergeCell ref="F151:F152"/>
    <mergeCell ref="G151:G152"/>
    <mergeCell ref="A145:A146"/>
    <mergeCell ref="B145:B146"/>
    <mergeCell ref="F145:F146"/>
    <mergeCell ref="G145:G146"/>
    <mergeCell ref="G149:G150"/>
    <mergeCell ref="A156:A157"/>
    <mergeCell ref="B156:B157"/>
    <mergeCell ref="F156:F157"/>
    <mergeCell ref="G156:G157"/>
    <mergeCell ref="H156:H157"/>
    <mergeCell ref="A158:A159"/>
    <mergeCell ref="C158:C159"/>
    <mergeCell ref="F158:F159"/>
    <mergeCell ref="G158:G159"/>
    <mergeCell ref="H158:H159"/>
    <mergeCell ref="A160:A161"/>
    <mergeCell ref="D160:D161"/>
    <mergeCell ref="F160:F161"/>
    <mergeCell ref="G160:G161"/>
    <mergeCell ref="H160:H161"/>
    <mergeCell ref="A162:A163"/>
    <mergeCell ref="E162:E163"/>
    <mergeCell ref="F162:F163"/>
    <mergeCell ref="G162:G163"/>
    <mergeCell ref="H162:H163"/>
    <mergeCell ref="F123:F124"/>
    <mergeCell ref="G123:G124"/>
    <mergeCell ref="H123:H124"/>
    <mergeCell ref="A125:A126"/>
    <mergeCell ref="C125:C126"/>
    <mergeCell ref="F125:F126"/>
    <mergeCell ref="G125:G126"/>
    <mergeCell ref="H125:H126"/>
    <mergeCell ref="A143:A144"/>
    <mergeCell ref="A140:A141"/>
    <mergeCell ref="E140:E141"/>
    <mergeCell ref="F140:F141"/>
    <mergeCell ref="G140:G141"/>
    <mergeCell ref="H140:H141"/>
    <mergeCell ref="A136:A137"/>
    <mergeCell ref="C136:C137"/>
    <mergeCell ref="F136:F137"/>
    <mergeCell ref="G136:G137"/>
    <mergeCell ref="H136:H137"/>
    <mergeCell ref="A138:A139"/>
    <mergeCell ref="D138:D139"/>
    <mergeCell ref="F138:F139"/>
    <mergeCell ref="G138:G139"/>
    <mergeCell ref="H138:H139"/>
    <mergeCell ref="A208:A209"/>
    <mergeCell ref="H199:H200"/>
    <mergeCell ref="A201:A202"/>
    <mergeCell ref="C201:C202"/>
    <mergeCell ref="F201:F202"/>
    <mergeCell ref="A179:A180"/>
    <mergeCell ref="C179:C180"/>
    <mergeCell ref="F179:F180"/>
    <mergeCell ref="G179:G180"/>
    <mergeCell ref="H179:H180"/>
    <mergeCell ref="A181:A182"/>
    <mergeCell ref="D181:D182"/>
    <mergeCell ref="F181:F182"/>
    <mergeCell ref="G181:G182"/>
    <mergeCell ref="H181:H182"/>
    <mergeCell ref="B199:B200"/>
    <mergeCell ref="F199:F200"/>
    <mergeCell ref="G199:G200"/>
    <mergeCell ref="A203:A204"/>
    <mergeCell ref="D203:D204"/>
    <mergeCell ref="F203:F204"/>
    <mergeCell ref="G203:G204"/>
    <mergeCell ref="H203:H204"/>
    <mergeCell ref="A197:A198"/>
    <mergeCell ref="A167:A168"/>
    <mergeCell ref="B167:B168"/>
    <mergeCell ref="F167:F168"/>
    <mergeCell ref="G167:G168"/>
    <mergeCell ref="H167:H168"/>
    <mergeCell ref="A210:A211"/>
    <mergeCell ref="B210:B211"/>
    <mergeCell ref="F210:F211"/>
    <mergeCell ref="G210:G211"/>
    <mergeCell ref="H210:H211"/>
    <mergeCell ref="G192:G193"/>
    <mergeCell ref="H192:H193"/>
    <mergeCell ref="A205:A206"/>
    <mergeCell ref="E205:E206"/>
    <mergeCell ref="F205:F206"/>
    <mergeCell ref="G205:G206"/>
    <mergeCell ref="H205:H206"/>
    <mergeCell ref="A194:A195"/>
    <mergeCell ref="E194:E195"/>
    <mergeCell ref="F194:F195"/>
    <mergeCell ref="G194:G195"/>
    <mergeCell ref="H194:H195"/>
    <mergeCell ref="G201:G202"/>
    <mergeCell ref="H201:H202"/>
    <mergeCell ref="A212:A213"/>
    <mergeCell ref="C212:C213"/>
    <mergeCell ref="F212:F213"/>
    <mergeCell ref="G212:G213"/>
    <mergeCell ref="H212:H213"/>
    <mergeCell ref="A214:A215"/>
    <mergeCell ref="D214:D215"/>
    <mergeCell ref="F214:F215"/>
    <mergeCell ref="G214:G215"/>
    <mergeCell ref="H214:H215"/>
    <mergeCell ref="A216:A217"/>
    <mergeCell ref="E216:E217"/>
    <mergeCell ref="F216:F217"/>
    <mergeCell ref="G216:G217"/>
    <mergeCell ref="H216:H217"/>
    <mergeCell ref="A169:A170"/>
    <mergeCell ref="C169:C170"/>
    <mergeCell ref="F169:F170"/>
    <mergeCell ref="G169:G170"/>
    <mergeCell ref="H169:H170"/>
    <mergeCell ref="A171:A172"/>
    <mergeCell ref="D171:D172"/>
    <mergeCell ref="F171:F172"/>
    <mergeCell ref="G171:G172"/>
    <mergeCell ref="H171:H172"/>
    <mergeCell ref="A173:A174"/>
    <mergeCell ref="E173:E174"/>
    <mergeCell ref="F173:F174"/>
    <mergeCell ref="G173:G174"/>
    <mergeCell ref="H173:H174"/>
    <mergeCell ref="A183:A184"/>
    <mergeCell ref="A192:A193"/>
    <mergeCell ref="D192:D193"/>
    <mergeCell ref="F192:F193"/>
    <mergeCell ref="A199:A200"/>
    <mergeCell ref="A1:H1"/>
    <mergeCell ref="A186:A187"/>
    <mergeCell ref="A188:A189"/>
    <mergeCell ref="B188:B189"/>
    <mergeCell ref="F188:F189"/>
    <mergeCell ref="G188:G189"/>
    <mergeCell ref="H188:H189"/>
    <mergeCell ref="A190:A191"/>
    <mergeCell ref="C190:C191"/>
    <mergeCell ref="F190:F191"/>
    <mergeCell ref="G190:G191"/>
    <mergeCell ref="H190:H191"/>
    <mergeCell ref="A165:A166"/>
    <mergeCell ref="E183:E184"/>
    <mergeCell ref="F183:F184"/>
    <mergeCell ref="G183:G184"/>
    <mergeCell ref="H183:H184"/>
    <mergeCell ref="A175:A176"/>
    <mergeCell ref="A177:A178"/>
    <mergeCell ref="B177:B178"/>
    <mergeCell ref="F177:F178"/>
    <mergeCell ref="G177:G178"/>
    <mergeCell ref="H177:H178"/>
  </mergeCells>
  <pageMargins left="0.70866141732283472" right="0.70866141732283472" top="0.39370078740157483" bottom="0.19685039370078741" header="0.31496062992125984" footer="0.31496062992125984"/>
  <pageSetup paperSize="9" scale="97" orientation="portrait" r:id="rId1"/>
  <rowBreaks count="5" manualBreakCount="5">
    <brk id="34" max="7" man="1"/>
    <brk id="66" max="7" man="1"/>
    <brk id="98" max="7" man="1"/>
    <brk id="131" max="7" man="1"/>
    <brk id="163"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2"/>
  <dimension ref="A2:CF40"/>
  <sheetViews>
    <sheetView zoomScale="75" workbookViewId="0">
      <selection activeCell="A2" sqref="A2:E3"/>
    </sheetView>
  </sheetViews>
  <sheetFormatPr defaultRowHeight="12.75" x14ac:dyDescent="0.2"/>
  <cols>
    <col min="1" max="1" width="21.7109375" style="27" bestFit="1" customWidth="1"/>
    <col min="2" max="2" width="2.7109375" style="27" customWidth="1"/>
    <col min="3" max="3" width="1.5703125" style="27" customWidth="1"/>
    <col min="4" max="4" width="2.7109375" style="27" customWidth="1"/>
    <col min="5" max="5" width="21.7109375" style="27" bestFit="1" customWidth="1"/>
    <col min="6" max="6" width="5.140625" style="28" customWidth="1"/>
    <col min="7" max="34" width="3.7109375" style="28" customWidth="1"/>
    <col min="35" max="36" width="9.140625" style="28"/>
    <col min="37" max="43" width="3.7109375" style="28" customWidth="1"/>
    <col min="44" max="44" width="9.140625" style="28"/>
    <col min="45" max="45" width="12.7109375" style="28" customWidth="1"/>
    <col min="46" max="46" width="5" style="28" customWidth="1"/>
    <col min="47" max="47" width="12.7109375" style="28" customWidth="1"/>
    <col min="48" max="48" width="5" style="28" customWidth="1"/>
    <col min="49" max="49" width="12.7109375" style="28" customWidth="1"/>
    <col min="50" max="53" width="4.7109375" style="28" customWidth="1"/>
    <col min="54" max="54" width="12.7109375" style="28" customWidth="1"/>
    <col min="55" max="56" width="4.7109375" style="28" customWidth="1"/>
    <col min="57" max="57" width="12.7109375" style="28" customWidth="1"/>
    <col min="58" max="59" width="4.7109375" style="28" customWidth="1"/>
    <col min="60" max="60" width="12.7109375" style="28" customWidth="1"/>
    <col min="61" max="62" width="4.7109375" style="28" customWidth="1"/>
    <col min="63" max="63" width="7.7109375" style="28" customWidth="1"/>
    <col min="64" max="64" width="12.7109375" style="28" customWidth="1"/>
    <col min="65" max="67" width="4.7109375" style="28" customWidth="1"/>
    <col min="68" max="68" width="12.7109375" style="28" customWidth="1"/>
    <col min="69" max="71" width="4.7109375" style="28" customWidth="1"/>
    <col min="72" max="72" width="12.7109375" style="28" customWidth="1"/>
    <col min="73" max="75" width="4.7109375" style="28" customWidth="1"/>
    <col min="76" max="76" width="12.7109375" style="28" customWidth="1"/>
    <col min="77" max="83" width="3.7109375" style="28" customWidth="1"/>
    <col min="84" max="16384" width="9.140625" style="28"/>
  </cols>
  <sheetData>
    <row r="2" spans="1:84" x14ac:dyDescent="0.2">
      <c r="A2" s="464" t="str">
        <f>'3-zapasy'!A1</f>
        <v>skupina 3A</v>
      </c>
      <c r="B2" s="464"/>
      <c r="C2" s="464"/>
      <c r="D2" s="464"/>
      <c r="E2" s="464"/>
      <c r="F2" s="28" t="s">
        <v>67</v>
      </c>
      <c r="G2" s="465" t="str">
        <f>A4</f>
        <v>vítěz utkání 2st-1</v>
      </c>
      <c r="H2" s="465"/>
      <c r="I2" s="465"/>
      <c r="J2" s="465"/>
      <c r="K2" s="465"/>
      <c r="L2" s="465"/>
      <c r="M2" s="465"/>
      <c r="N2" s="465" t="str">
        <f>E4</f>
        <v>vítěz utkání 2st-16</v>
      </c>
      <c r="O2" s="465"/>
      <c r="P2" s="465"/>
      <c r="Q2" s="465"/>
      <c r="R2" s="465"/>
      <c r="S2" s="465"/>
      <c r="T2" s="465"/>
      <c r="U2" s="465" t="str">
        <f>A5</f>
        <v>vítěz utkání 2st-8</v>
      </c>
      <c r="V2" s="465"/>
      <c r="W2" s="465"/>
      <c r="X2" s="465"/>
      <c r="Y2" s="465"/>
      <c r="Z2" s="465"/>
      <c r="AA2" s="465"/>
      <c r="AB2" s="465" t="str">
        <f>E5</f>
        <v>vítěz utkání 2st-9</v>
      </c>
      <c r="AC2" s="465"/>
      <c r="AD2" s="465"/>
      <c r="AE2" s="465"/>
      <c r="AF2" s="465"/>
      <c r="AG2" s="465"/>
      <c r="AH2" s="465"/>
      <c r="AJ2" s="465" t="s">
        <v>68</v>
      </c>
      <c r="AK2" s="465"/>
      <c r="AL2" s="465"/>
      <c r="AM2" s="465"/>
      <c r="AN2" s="465"/>
      <c r="AO2" s="465"/>
      <c r="AP2" s="465"/>
      <c r="AQ2" s="465"/>
      <c r="BX2" s="28" t="s">
        <v>69</v>
      </c>
    </row>
    <row r="3" spans="1:84" x14ac:dyDescent="0.2">
      <c r="A3" s="464"/>
      <c r="B3" s="464"/>
      <c r="C3" s="464"/>
      <c r="D3" s="464"/>
      <c r="E3" s="464"/>
      <c r="F3" s="28" t="s">
        <v>70</v>
      </c>
      <c r="G3" s="28" t="s">
        <v>71</v>
      </c>
      <c r="H3" s="28" t="s">
        <v>72</v>
      </c>
      <c r="I3" s="28" t="s">
        <v>73</v>
      </c>
      <c r="J3" s="28" t="s">
        <v>74</v>
      </c>
      <c r="K3" s="28" t="s">
        <v>75</v>
      </c>
      <c r="L3" s="28" t="s">
        <v>76</v>
      </c>
      <c r="M3" s="28" t="s">
        <v>77</v>
      </c>
      <c r="N3" s="28" t="s">
        <v>71</v>
      </c>
      <c r="O3" s="28" t="s">
        <v>72</v>
      </c>
      <c r="P3" s="28" t="s">
        <v>73</v>
      </c>
      <c r="Q3" s="28" t="s">
        <v>74</v>
      </c>
      <c r="R3" s="28" t="s">
        <v>75</v>
      </c>
      <c r="S3" s="28" t="s">
        <v>76</v>
      </c>
      <c r="T3" s="28" t="s">
        <v>77</v>
      </c>
      <c r="U3" s="28" t="s">
        <v>71</v>
      </c>
      <c r="V3" s="28" t="s">
        <v>72</v>
      </c>
      <c r="W3" s="28" t="s">
        <v>73</v>
      </c>
      <c r="X3" s="28" t="s">
        <v>74</v>
      </c>
      <c r="Y3" s="28" t="s">
        <v>75</v>
      </c>
      <c r="Z3" s="28" t="s">
        <v>76</v>
      </c>
      <c r="AA3" s="28" t="s">
        <v>77</v>
      </c>
      <c r="AB3" s="28" t="s">
        <v>71</v>
      </c>
      <c r="AC3" s="28" t="s">
        <v>72</v>
      </c>
      <c r="AD3" s="28" t="s">
        <v>73</v>
      </c>
      <c r="AE3" s="28" t="s">
        <v>74</v>
      </c>
      <c r="AF3" s="28" t="s">
        <v>75</v>
      </c>
      <c r="AG3" s="28" t="s">
        <v>76</v>
      </c>
      <c r="AH3" s="28" t="s">
        <v>77</v>
      </c>
      <c r="AK3" s="28" t="s">
        <v>71</v>
      </c>
      <c r="AL3" s="28" t="s">
        <v>72</v>
      </c>
      <c r="AM3" s="28" t="s">
        <v>73</v>
      </c>
      <c r="AN3" s="28" t="s">
        <v>74</v>
      </c>
      <c r="AO3" s="28" t="s">
        <v>75</v>
      </c>
      <c r="AP3" s="28" t="s">
        <v>76</v>
      </c>
      <c r="AQ3" s="28" t="s">
        <v>77</v>
      </c>
      <c r="AS3" s="28" t="s">
        <v>78</v>
      </c>
      <c r="AU3" s="28" t="s">
        <v>79</v>
      </c>
      <c r="AW3" s="28" t="s">
        <v>80</v>
      </c>
      <c r="AY3" s="28" t="s">
        <v>81</v>
      </c>
      <c r="BB3" s="28" t="s">
        <v>82</v>
      </c>
      <c r="BE3" s="28" t="s">
        <v>83</v>
      </c>
      <c r="BH3" s="28" t="s">
        <v>84</v>
      </c>
      <c r="BK3" s="28" t="s">
        <v>85</v>
      </c>
      <c r="BL3" s="28" t="s">
        <v>86</v>
      </c>
      <c r="BP3" s="28" t="s">
        <v>87</v>
      </c>
      <c r="BT3" s="28" t="s">
        <v>88</v>
      </c>
      <c r="BY3" s="28" t="s">
        <v>65</v>
      </c>
      <c r="BZ3" s="28" t="s">
        <v>89</v>
      </c>
      <c r="CA3" s="28" t="s">
        <v>58</v>
      </c>
      <c r="CB3" s="28" t="s">
        <v>90</v>
      </c>
      <c r="CC3" s="28" t="s">
        <v>51</v>
      </c>
      <c r="CD3" s="28" t="s">
        <v>53</v>
      </c>
      <c r="CE3" s="28" t="s">
        <v>91</v>
      </c>
    </row>
    <row r="4" spans="1:84" x14ac:dyDescent="0.2">
      <c r="A4" s="27" t="str">
        <f>'3-zapasy'!D3</f>
        <v>vítěz utkání 2st-1</v>
      </c>
      <c r="B4" s="27" t="str">
        <f>'3-zapasy'!I3</f>
        <v/>
      </c>
      <c r="C4" s="27" t="e">
        <f>'3-zapasy'!#REF!</f>
        <v>#REF!</v>
      </c>
      <c r="D4" s="27" t="str">
        <f>'3-zapasy'!J3</f>
        <v/>
      </c>
      <c r="E4" s="27" t="str">
        <f>'3-zapasy'!E3</f>
        <v>vítěz utkání 2st-16</v>
      </c>
      <c r="F4" s="28">
        <f>COUNTBLANK('3-zapasy'!I3:'3-zapasy'!J3)</f>
        <v>2</v>
      </c>
      <c r="G4" s="28">
        <f>IF(AND(F4=0,OR($A4=$G2,$E4=$G2)),1,0)</f>
        <v>0</v>
      </c>
      <c r="H4" s="28">
        <f>IF(AND(F4=0,OR(AND($A4=$G2,$B4&gt;$D4),AND($E4=$G2,$D4&gt;$B4))),1,0)</f>
        <v>0</v>
      </c>
      <c r="I4" s="28">
        <f t="shared" ref="I4:I9" si="0">IF(AND(F4=0,G4=1,$B4=$D4),1,0)</f>
        <v>0</v>
      </c>
      <c r="J4" s="28">
        <f>IF(AND(F4=0,OR(AND($A4=$G2,$B4&lt;$D4),AND($E4=$G2,$D4&lt;$B4))),1,0)</f>
        <v>0</v>
      </c>
      <c r="K4" s="28">
        <f>IF(F4&gt;0,0,IF($A4=$G2,$B4,IF($E4=$G2,$D4,0)))</f>
        <v>0</v>
      </c>
      <c r="L4" s="28">
        <f>IF(F4&gt;0,0,IF($A4=$G2,$D4,IF($E4=$G2,$B4,0)))</f>
        <v>0</v>
      </c>
      <c r="M4">
        <f t="shared" ref="M4:M9" si="1">(($H4*$B$10)+$I4)</f>
        <v>0</v>
      </c>
      <c r="N4">
        <f>IF(AND(F4=0,OR($A4=$N2,$E4=$N2)),1,0)</f>
        <v>0</v>
      </c>
      <c r="O4">
        <f>IF(AND(F4=0,OR(AND($A4=$N2,$B4&gt;$D4),AND($E4=$N2,$D4&gt;$B4))),1,0)</f>
        <v>0</v>
      </c>
      <c r="P4">
        <f t="shared" ref="P4:P9" si="2">IF(AND(F4=0,N4=1,$B4=$D4),1,0)</f>
        <v>0</v>
      </c>
      <c r="Q4">
        <f>IF(AND(F4=0,OR(AND($A4=$N2,$B4&lt;$D4),AND($E4=$N2,$D4&lt;$B4))),1,0)</f>
        <v>0</v>
      </c>
      <c r="R4">
        <f>IF(F4&gt;0,0,IF($A4=$N2,$B4,IF($E4=$N2,$D4,0)))</f>
        <v>0</v>
      </c>
      <c r="S4">
        <f>IF(F4&gt;0,0,IF($A4=$N2,$D4,IF($E4=$N2,$B4,0)))</f>
        <v>0</v>
      </c>
      <c r="T4">
        <f t="shared" ref="T4:T9" si="3">(($O4*$B$10)+$P4)</f>
        <v>0</v>
      </c>
      <c r="U4">
        <f>IF(AND(F4=0,OR($A4=$U2,$E4=$U2)),1,0)</f>
        <v>0</v>
      </c>
      <c r="V4">
        <f>IF(AND(F4=0,OR(AND($A4=$U2,$B4&gt;$D4),AND($E4=$U2,$D4&gt;$B4))),1,0)</f>
        <v>0</v>
      </c>
      <c r="W4">
        <f t="shared" ref="W4:W9" si="4">IF(AND(F4=0,U4=1,$B4=$D4),1,0)</f>
        <v>0</v>
      </c>
      <c r="X4">
        <f>IF(AND(F4=0,OR(AND($A4=$U2,$B4&lt;$D4),AND($E4=$U2,$D4&lt;$B4))),1,0)</f>
        <v>0</v>
      </c>
      <c r="Y4">
        <f>IF(F4&gt;0,0,IF($A4=$U2,$B4,IF($E4=$U2,$D4,0)))</f>
        <v>0</v>
      </c>
      <c r="Z4">
        <f>IF(F4&gt;0,0,IF($A4=$U2,$D4,IF($E4=$U2,$B4,0)))</f>
        <v>0</v>
      </c>
      <c r="AA4">
        <f t="shared" ref="AA4:AA9" si="5">(($V4*$B$10)+$W4)</f>
        <v>0</v>
      </c>
      <c r="AB4">
        <f>IF(AND(F4=0,OR($A4=$AB2,$E4=$AB2)),1,0)</f>
        <v>0</v>
      </c>
      <c r="AC4">
        <f>IF(AND(F4=0,OR(AND($A4=$AB2,$B4&gt;$D4),AND($E4=$AB2,$D4&gt;$B4))),1,0)</f>
        <v>0</v>
      </c>
      <c r="AD4">
        <f t="shared" ref="AD4:AD9" si="6">IF(AND(F4=0,AB4=1,$B4=$D4),1,0)</f>
        <v>0</v>
      </c>
      <c r="AE4">
        <f>IF(AND(F4=0,OR(AND($A4=$AB2,$B4&lt;$D4),AND($E4=$AB2,$D4&lt;$B4))),1,0)</f>
        <v>0</v>
      </c>
      <c r="AF4">
        <f>IF(F4&gt;0,0,IF($A4=$AB2,$B4,IF($E4=$AB2,$D4,0)))</f>
        <v>0</v>
      </c>
      <c r="AG4">
        <f>IF(F4&gt;0,0,IF($A4=$AB2,$D4,IF($E4=$AB2,$B4,0)))</f>
        <v>0</v>
      </c>
      <c r="AH4">
        <f t="shared" ref="AH4:AH9" si="7">(($AC4*$B$10)+$AD4)</f>
        <v>0</v>
      </c>
      <c r="AJ4" s="28" t="str">
        <f>G2</f>
        <v>vítěz utkání 2st-1</v>
      </c>
      <c r="AK4" s="28">
        <f t="shared" ref="AK4:AQ4" si="8">G10</f>
        <v>0</v>
      </c>
      <c r="AL4" s="28">
        <f t="shared" si="8"/>
        <v>0</v>
      </c>
      <c r="AM4" s="28">
        <f t="shared" si="8"/>
        <v>0</v>
      </c>
      <c r="AN4" s="28">
        <f t="shared" si="8"/>
        <v>0</v>
      </c>
      <c r="AO4" s="28">
        <f t="shared" si="8"/>
        <v>0</v>
      </c>
      <c r="AP4" s="28">
        <f t="shared" si="8"/>
        <v>0</v>
      </c>
      <c r="AQ4" s="28">
        <f t="shared" si="8"/>
        <v>0</v>
      </c>
      <c r="AS4" s="28" t="str">
        <f>IF($AQ4&gt;=$AQ5,$AJ4,$AJ5)</f>
        <v>vítěz utkání 2st-1</v>
      </c>
      <c r="AT4" s="28">
        <f>VLOOKUP(AS4,$AJ4:$AQ7,8,FALSE)</f>
        <v>0</v>
      </c>
      <c r="AU4" s="28" t="str">
        <f>IF($AT4&gt;=$AT6,$AS4,$AS6)</f>
        <v>vítěz utkání 2st-1</v>
      </c>
      <c r="AV4" s="28">
        <f>VLOOKUP(AU4,$AS4:$AT7,2,FALSE)</f>
        <v>0</v>
      </c>
      <c r="AW4" s="28" t="str">
        <f>IF($AV4&gt;=$AV7,$AU4,$AU7)</f>
        <v>vítěz utkání 2st-1</v>
      </c>
      <c r="AX4" s="28">
        <f>VLOOKUP(AW4,$AU4:$AV7,2,FALSE)</f>
        <v>0</v>
      </c>
      <c r="AY4" s="28">
        <f>VLOOKUP(AW4,$AJ4:$AQ7,6,FALSE)</f>
        <v>0</v>
      </c>
      <c r="AZ4" s="28">
        <f>VLOOKUP(AW4,$AJ4:$AQ7,7,FALSE)</f>
        <v>0</v>
      </c>
      <c r="BA4" s="28">
        <f>AY4-AZ4</f>
        <v>0</v>
      </c>
      <c r="BB4" s="28" t="str">
        <f>IF(AND($AX4=$AX5,$BA5&gt;$BA4),$AW5,$AW4)</f>
        <v>vítěz utkání 2st-1</v>
      </c>
      <c r="BC4" s="28">
        <f>VLOOKUP(BB4,$AW4:$BA7,2,FALSE)</f>
        <v>0</v>
      </c>
      <c r="BD4" s="28">
        <f>VLOOKUP(BB4,$AW4:$BA7,5,FALSE)</f>
        <v>0</v>
      </c>
      <c r="BE4" s="28" t="str">
        <f>IF(AND($BC4=$BC6,$BD6&gt;$BD4),$BB6,$BB4)</f>
        <v>vítěz utkání 2st-1</v>
      </c>
      <c r="BF4" s="28">
        <f>VLOOKUP(BE4,$BB4:$BD7,2,FALSE)</f>
        <v>0</v>
      </c>
      <c r="BG4" s="28">
        <f>VLOOKUP(BE4,$BB4:$BD7,3,FALSE)</f>
        <v>0</v>
      </c>
      <c r="BH4" s="28" t="str">
        <f>IF(AND($BF4=$BF7,$BG7&gt;$BG4),$BE7,$BE4)</f>
        <v>vítěz utkání 2st-1</v>
      </c>
      <c r="BI4" s="28">
        <f>VLOOKUP(BH4,$BE4:$BG7,2,FALSE)</f>
        <v>0</v>
      </c>
      <c r="BJ4" s="28">
        <f>VLOOKUP(BH4,$BE4:$BG7,3,FALSE)</f>
        <v>0</v>
      </c>
      <c r="BK4" s="28">
        <f>VLOOKUP(BH4,$AJ4:$AQ7,6,FALSE)</f>
        <v>0</v>
      </c>
      <c r="BL4" s="28" t="str">
        <f>IF(AND($BI4=$BI5,$BJ4=$BJ5,$BK5&gt;$BK4),$BH5,$BH4)</f>
        <v>vítěz utkání 2st-1</v>
      </c>
      <c r="BM4" s="28">
        <f>VLOOKUP(BL4,$BH4:$BK7,2,FALSE)</f>
        <v>0</v>
      </c>
      <c r="BN4" s="28">
        <f>VLOOKUP(BL4,$BH4:$BK7,3,FALSE)</f>
        <v>0</v>
      </c>
      <c r="BO4" s="28">
        <f>VLOOKUP(BL4,$BH4:$BK7,4,FALSE)</f>
        <v>0</v>
      </c>
      <c r="BP4" s="28" t="str">
        <f>IF(AND($BM4=$BM6,$BN4=$BN6,$BO6&gt;$BO4),$BL6,$BL4)</f>
        <v>vítěz utkání 2st-1</v>
      </c>
      <c r="BQ4" s="28">
        <f>VLOOKUP(BP4,$BL4:$BO7,2,FALSE)</f>
        <v>0</v>
      </c>
      <c r="BR4" s="28">
        <f>VLOOKUP(BP4,$BL4:$BO7,3,FALSE)</f>
        <v>0</v>
      </c>
      <c r="BS4" s="28">
        <f>VLOOKUP(BP4,$BL4:$BO7,4,FALSE)</f>
        <v>0</v>
      </c>
      <c r="BT4" s="28" t="str">
        <f>IF(AND($BQ4=$BQ7,$BR4=$BR7,$BS7&gt;$BS4),$BP7,$BP4)</f>
        <v>vítěz utkání 2st-1</v>
      </c>
      <c r="BU4" s="28">
        <f>VLOOKUP(BT4,$BP4:$BS7,2,FALSE)</f>
        <v>0</v>
      </c>
      <c r="BV4" s="28">
        <f>VLOOKUP(BT4,$BP4:$BS7,3,FALSE)</f>
        <v>0</v>
      </c>
      <c r="BW4" s="28">
        <f>VLOOKUP(BT4,$BP4:$BS7,4,FALSE)</f>
        <v>0</v>
      </c>
      <c r="BX4" s="28" t="str">
        <f>BT4</f>
        <v>vítěz utkání 2st-1</v>
      </c>
      <c r="BY4" s="28">
        <f>VLOOKUP($BX4,$AJ4:$AQ7,2,FALSE)</f>
        <v>0</v>
      </c>
      <c r="BZ4" s="28">
        <f>VLOOKUP($BX4,$AJ4:$AQ7,3,FALSE)</f>
        <v>0</v>
      </c>
      <c r="CA4" s="28">
        <f>VLOOKUP($BX4,$AJ4:$AQ7,4,FALSE)</f>
        <v>0</v>
      </c>
      <c r="CB4" s="28">
        <f>VLOOKUP($BX4,$AJ4:$AQ7,5,FALSE)</f>
        <v>0</v>
      </c>
      <c r="CC4" s="28">
        <f>VLOOKUP($BX4,$AJ4:$AQ7,6,FALSE)</f>
        <v>0</v>
      </c>
      <c r="CD4" s="28">
        <f>VLOOKUP($BX4,$AJ4:$AQ7,7,FALSE)</f>
        <v>0</v>
      </c>
      <c r="CE4" s="28">
        <f>VLOOKUP($BX4,$AJ4:$AQ7,8,FALSE)</f>
        <v>0</v>
      </c>
      <c r="CF4" s="128" t="str">
        <f>CONCATENATE(CC4,":",CD4)</f>
        <v>0:0</v>
      </c>
    </row>
    <row r="5" spans="1:84" x14ac:dyDescent="0.2">
      <c r="A5" s="27" t="str">
        <f>'3-zapasy'!D4</f>
        <v>vítěz utkání 2st-8</v>
      </c>
      <c r="B5" s="27" t="str">
        <f>'3-zapasy'!I4</f>
        <v/>
      </c>
      <c r="C5" s="27" t="e">
        <f>'3-zapasy'!#REF!</f>
        <v>#REF!</v>
      </c>
      <c r="D5" s="27" t="str">
        <f>'3-zapasy'!J4</f>
        <v/>
      </c>
      <c r="E5" s="27" t="str">
        <f>'3-zapasy'!E4</f>
        <v>vítěz utkání 2st-9</v>
      </c>
      <c r="F5" s="28">
        <f>COUNTBLANK('3-zapasy'!I4:'3-zapasy'!J4)</f>
        <v>2</v>
      </c>
      <c r="G5" s="28">
        <f>IF(AND(F5=0,OR($A5=$G2,$E5=$G2)),1,0)</f>
        <v>0</v>
      </c>
      <c r="H5" s="28">
        <f>IF(AND(F5=0,OR(AND($A5=$G2,$B5&gt;$D5),AND($E5=$G2,$D5&gt;$B5))),1,0)</f>
        <v>0</v>
      </c>
      <c r="I5" s="28">
        <f t="shared" si="0"/>
        <v>0</v>
      </c>
      <c r="J5" s="28">
        <f>IF(AND(F5=0,OR(AND($A5=$G2,$B5&lt;$D5),AND($E5=$G2,$D5&lt;$B5))),1,0)</f>
        <v>0</v>
      </c>
      <c r="K5" s="28">
        <f>IF(F5&gt;0,0,IF($A5=$G2,$B5,IF($E5=$G2,$D5,0)))</f>
        <v>0</v>
      </c>
      <c r="L5" s="28">
        <f>IF(F5&gt;0,0,IF($A5=$G2,$D5,IF($E5=$G2,$B5,0)))</f>
        <v>0</v>
      </c>
      <c r="M5">
        <f t="shared" si="1"/>
        <v>0</v>
      </c>
      <c r="N5">
        <f>IF(AND(F5=0,OR($A5=$N2,$E5=$N2)),1,0)</f>
        <v>0</v>
      </c>
      <c r="O5">
        <f>IF(AND(F5=0,OR(AND($A5=$N2,$B5&gt;$D5),AND($E5=$N2,$D5&gt;$B5))),1,0)</f>
        <v>0</v>
      </c>
      <c r="P5">
        <f t="shared" si="2"/>
        <v>0</v>
      </c>
      <c r="Q5">
        <f>IF(AND(F5=0,OR(AND($A5=$N2,$B5&lt;$D5),AND($E5=$N2,$D5&lt;$B5))),1,0)</f>
        <v>0</v>
      </c>
      <c r="R5">
        <f>IF(F5&gt;0,0,IF($A5=$N2,$B5,IF($E5=$N2,$D5,0)))</f>
        <v>0</v>
      </c>
      <c r="S5">
        <f>IF(F5&gt;0,0,IF($A5=$N2,$D5,IF($E5=$N2,$B5,0)))</f>
        <v>0</v>
      </c>
      <c r="T5">
        <f t="shared" si="3"/>
        <v>0</v>
      </c>
      <c r="U5">
        <f>IF(AND(F5=0,OR($A5=$U2,$E5=$U2)),1,0)</f>
        <v>0</v>
      </c>
      <c r="V5">
        <f>IF(AND(F5=0,OR(AND($A5=$U2,$B5&gt;$D5),AND($E5=$U2,$D5&gt;$B5))),1,0)</f>
        <v>0</v>
      </c>
      <c r="W5">
        <f t="shared" si="4"/>
        <v>0</v>
      </c>
      <c r="X5">
        <f>IF(AND(F5=0,OR(AND($A5=$U2,$B5&lt;$D5),AND($E5=$U2,$D5&lt;$B5))),1,0)</f>
        <v>0</v>
      </c>
      <c r="Y5">
        <f>IF(F5&gt;0,0,IF($A5=$U2,$B5,IF($E5=$U2,$D5,0)))</f>
        <v>0</v>
      </c>
      <c r="Z5">
        <f>IF(F5&gt;0,0,IF($A5=$U2,$D5,IF($E5=$U2,$B5,0)))</f>
        <v>0</v>
      </c>
      <c r="AA5">
        <f t="shared" si="5"/>
        <v>0</v>
      </c>
      <c r="AB5">
        <f>IF(AND(F5=0,OR($A5=$AB2,$E5=$AB2)),1,0)</f>
        <v>0</v>
      </c>
      <c r="AC5">
        <f>IF(AND(F5=0,OR(AND($A5=$AB2,$B5&gt;$D5),AND($E5=$AB2,$D5&gt;$B5))),1,0)</f>
        <v>0</v>
      </c>
      <c r="AD5">
        <f t="shared" si="6"/>
        <v>0</v>
      </c>
      <c r="AE5">
        <f>IF(AND(F5=0,OR(AND($A5=$AB2,$B5&lt;$D5),AND($E5=$AB2,$D5&lt;$B5))),1,0)</f>
        <v>0</v>
      </c>
      <c r="AF5">
        <f>IF(F5&gt;0,0,IF($A5=$AB2,$B5,IF($E5=$AB2,$D5,0)))</f>
        <v>0</v>
      </c>
      <c r="AG5">
        <f>IF(F5&gt;0,0,IF($A5=$AB2,$D5,IF($E5=$AB2,$B5,0)))</f>
        <v>0</v>
      </c>
      <c r="AH5">
        <f t="shared" si="7"/>
        <v>0</v>
      </c>
      <c r="AJ5" s="28" t="str">
        <f>N2</f>
        <v>vítěz utkání 2st-16</v>
      </c>
      <c r="AK5" s="28">
        <f>N10</f>
        <v>0</v>
      </c>
      <c r="AL5" s="28">
        <f t="shared" ref="AL5:AQ5" si="9">O10</f>
        <v>0</v>
      </c>
      <c r="AM5" s="28">
        <f t="shared" si="9"/>
        <v>0</v>
      </c>
      <c r="AN5" s="28">
        <f t="shared" si="9"/>
        <v>0</v>
      </c>
      <c r="AO5" s="28">
        <f t="shared" si="9"/>
        <v>0</v>
      </c>
      <c r="AP5" s="28">
        <f t="shared" si="9"/>
        <v>0</v>
      </c>
      <c r="AQ5" s="28">
        <f t="shared" si="9"/>
        <v>0</v>
      </c>
      <c r="AS5" s="28" t="str">
        <f>IF($AQ5&lt;=$AQ4,$AJ5,$AJ4)</f>
        <v>vítěz utkání 2st-16</v>
      </c>
      <c r="AT5" s="28">
        <f>VLOOKUP(AS5,$AJ4:$AQ7,8,FALSE)</f>
        <v>0</v>
      </c>
      <c r="AU5" s="28" t="str">
        <f>IF($AT5&gt;=$AT7,$AS5,$AS7)</f>
        <v>vítěz utkání 2st-16</v>
      </c>
      <c r="AV5" s="28">
        <f>VLOOKUP(AU5,$AS4:$AT7,2,FALSE)</f>
        <v>0</v>
      </c>
      <c r="AW5" s="28" t="str">
        <f>IF($AV5&gt;=$AV6,$AU5,$AU6)</f>
        <v>vítěz utkání 2st-16</v>
      </c>
      <c r="AX5" s="28">
        <f>VLOOKUP(AW5,$AU4:$AV7,2,FALSE)</f>
        <v>0</v>
      </c>
      <c r="AY5" s="28">
        <f>VLOOKUP(AW5,$AJ4:$AQ7,6,FALSE)</f>
        <v>0</v>
      </c>
      <c r="AZ5" s="28">
        <f>VLOOKUP(AW5,$AJ4:$AQ7,7,FALSE)</f>
        <v>0</v>
      </c>
      <c r="BA5" s="28">
        <f>AY5-AZ5</f>
        <v>0</v>
      </c>
      <c r="BB5" s="28" t="str">
        <f>IF(AND($AX4=$AX5,$BA5&gt;$BA4),$AW4,$AW5)</f>
        <v>vítěz utkání 2st-16</v>
      </c>
      <c r="BC5" s="28">
        <f>VLOOKUP(BB5,$AW4:$BA7,2,FALSE)</f>
        <v>0</v>
      </c>
      <c r="BD5" s="28">
        <f>VLOOKUP(BB5,$AW4:$BA7,5,FALSE)</f>
        <v>0</v>
      </c>
      <c r="BE5" s="28" t="str">
        <f>IF(AND($BC5=$BC7,$BD7&gt;$BD5),$BB7,$BB5)</f>
        <v>vítěz utkání 2st-16</v>
      </c>
      <c r="BF5" s="28">
        <f>VLOOKUP(BE5,$BB4:$BD7,2,FALSE)</f>
        <v>0</v>
      </c>
      <c r="BG5" s="28">
        <f>VLOOKUP(BE5,$BB4:$BD7,3,FALSE)</f>
        <v>0</v>
      </c>
      <c r="BH5" s="28" t="str">
        <f>IF(AND($BF5=$BF6,$BG6&gt;$BG5),$BE6,$BE5)</f>
        <v>vítěz utkání 2st-16</v>
      </c>
      <c r="BI5" s="28">
        <f>VLOOKUP(BH5,$BE4:$BG7,2,FALSE)</f>
        <v>0</v>
      </c>
      <c r="BJ5" s="28">
        <f>VLOOKUP(BH5,$BE4:$BG7,3,FALSE)</f>
        <v>0</v>
      </c>
      <c r="BK5" s="28">
        <f>VLOOKUP(BH5,$AJ4:$AQ7,6,FALSE)</f>
        <v>0</v>
      </c>
      <c r="BL5" s="28" t="str">
        <f>IF(AND($BI4=$BI5,$BJ4=$BJ5,$BK5&gt;$BK4),$BH4,$BH5)</f>
        <v>vítěz utkání 2st-16</v>
      </c>
      <c r="BM5" s="28">
        <f>VLOOKUP(BL5,$BH4:$BK7,2,FALSE)</f>
        <v>0</v>
      </c>
      <c r="BN5" s="28">
        <f>VLOOKUP(BL5,$BH4:$BK7,3,FALSE)</f>
        <v>0</v>
      </c>
      <c r="BO5" s="28">
        <f>VLOOKUP(BL5,$BH4:$BK7,4,FALSE)</f>
        <v>0</v>
      </c>
      <c r="BP5" s="28" t="str">
        <f>IF(AND($BM5=$BM7,$BN5=$BN7,$BO7&gt;$BO5),$BL7,$BL5)</f>
        <v>vítěz utkání 2st-16</v>
      </c>
      <c r="BQ5" s="28">
        <f>VLOOKUP(BP5,$BL4:$BO7,2,FALSE)</f>
        <v>0</v>
      </c>
      <c r="BR5" s="28">
        <f>VLOOKUP(BP5,$BL4:$BO7,3,FALSE)</f>
        <v>0</v>
      </c>
      <c r="BS5" s="28">
        <f>VLOOKUP(BP5,$BL4:$BO7,4,FALSE)</f>
        <v>0</v>
      </c>
      <c r="BT5" s="28" t="str">
        <f>IF(AND($BQ5=$BQ6,$BR5=$BR6,$BS6&gt;$BS5),$BP6,$BP5)</f>
        <v>vítěz utkání 2st-16</v>
      </c>
      <c r="BU5" s="28">
        <f>VLOOKUP(BT5,$BP4:$BS7,2,FALSE)</f>
        <v>0</v>
      </c>
      <c r="BV5" s="28">
        <f>VLOOKUP(BT5,$BP4:$BS7,3,FALSE)</f>
        <v>0</v>
      </c>
      <c r="BW5" s="28">
        <f>VLOOKUP(BT5,$BP4:$BS7,4,FALSE)</f>
        <v>0</v>
      </c>
      <c r="BX5" s="28" t="str">
        <f>BT5</f>
        <v>vítěz utkání 2st-16</v>
      </c>
      <c r="BY5" s="28">
        <f>VLOOKUP($BX5,$AJ4:$AQ7,2,FALSE)</f>
        <v>0</v>
      </c>
      <c r="BZ5" s="28">
        <f>VLOOKUP($BX5,$AJ4:$AQ7,3,FALSE)</f>
        <v>0</v>
      </c>
      <c r="CA5" s="28">
        <f>VLOOKUP($BX5,$AJ4:$AQ7,4,FALSE)</f>
        <v>0</v>
      </c>
      <c r="CB5" s="28">
        <f>VLOOKUP($BX5,$AJ4:$AQ7,5,FALSE)</f>
        <v>0</v>
      </c>
      <c r="CC5" s="28">
        <f>VLOOKUP($BX5,$AJ4:$AQ7,6,FALSE)</f>
        <v>0</v>
      </c>
      <c r="CD5" s="28">
        <f>VLOOKUP($BX5,$AJ4:$AQ7,7,FALSE)</f>
        <v>0</v>
      </c>
      <c r="CE5" s="28">
        <f>VLOOKUP($BX5,$AJ4:$AQ7,8,FALSE)</f>
        <v>0</v>
      </c>
      <c r="CF5" s="128" t="str">
        <f>CONCATENATE(CC5,":",CD5)</f>
        <v>0:0</v>
      </c>
    </row>
    <row r="6" spans="1:84" x14ac:dyDescent="0.2">
      <c r="A6" s="27" t="str">
        <f>'3-zapasy'!D5</f>
        <v>vítěz utkání 2st-16</v>
      </c>
      <c r="B6" s="27" t="str">
        <f>'3-zapasy'!I5</f>
        <v/>
      </c>
      <c r="C6" s="27" t="e">
        <f>'3-zapasy'!#REF!</f>
        <v>#REF!</v>
      </c>
      <c r="D6" s="27" t="str">
        <f>'3-zapasy'!J5</f>
        <v/>
      </c>
      <c r="E6" s="27" t="str">
        <f>'3-zapasy'!E5</f>
        <v>vítěz utkání 2st-8</v>
      </c>
      <c r="F6" s="28">
        <f>COUNTBLANK('3-zapasy'!I5:'3-zapasy'!J5)</f>
        <v>2</v>
      </c>
      <c r="G6" s="28">
        <f>IF(AND(F6=0,OR($A6=$G2,$E6=$G2)),1,0)</f>
        <v>0</v>
      </c>
      <c r="H6" s="28">
        <f>IF(AND(F6=0,OR(AND($A6=$G2,$B6&gt;$D6),AND($E6=$G2,$D6&gt;$B6))),1,0)</f>
        <v>0</v>
      </c>
      <c r="I6" s="28">
        <f t="shared" si="0"/>
        <v>0</v>
      </c>
      <c r="J6" s="28">
        <f>IF(AND(F6=0,OR(AND($A6=$G2,$B6&lt;$D6),AND($E6=$G2,$D6&lt;$B6))),1,0)</f>
        <v>0</v>
      </c>
      <c r="K6" s="28">
        <f>IF(F6&gt;0,0,IF($A6=$G2,$B6,IF($E6=$G2,$D6,0)))</f>
        <v>0</v>
      </c>
      <c r="L6" s="28">
        <f>IF(F6&gt;0,0,IF($A6=$G2,$D6,IF($E6=$G2,$B6,0)))</f>
        <v>0</v>
      </c>
      <c r="M6">
        <f t="shared" si="1"/>
        <v>0</v>
      </c>
      <c r="N6">
        <f>IF(AND(F6=0,OR($A6=$N2,$E6=$N2)),1,0)</f>
        <v>0</v>
      </c>
      <c r="O6">
        <f>IF(AND(F6=0,OR(AND($A6=$N2,$B6&gt;$D6),AND($E6=$N2,$D6&gt;$B6))),1,0)</f>
        <v>0</v>
      </c>
      <c r="P6">
        <f t="shared" si="2"/>
        <v>0</v>
      </c>
      <c r="Q6">
        <f>IF(AND(F6=0,OR(AND($A6=$N2,$B6&lt;$D6),AND($E6=$N2,$D6&lt;$B6))),1,0)</f>
        <v>0</v>
      </c>
      <c r="R6">
        <f>IF(F6&gt;0,0,IF($A6=$N2,$B6,IF($E6=$N2,$D6,0)))</f>
        <v>0</v>
      </c>
      <c r="S6">
        <f>IF(F6&gt;0,0,IF($A6=$N2,$D6,IF($E6=$N2,$B6,0)))</f>
        <v>0</v>
      </c>
      <c r="T6">
        <f t="shared" si="3"/>
        <v>0</v>
      </c>
      <c r="U6">
        <f>IF(AND(F6=0,OR($A6=$U2,$E6=$U2)),1,0)</f>
        <v>0</v>
      </c>
      <c r="V6">
        <f>IF(AND(F6=0,OR(AND($A6=$U2,$B6&gt;$D6),AND($E6=$U2,$D6&gt;$B6))),1,0)</f>
        <v>0</v>
      </c>
      <c r="W6">
        <f t="shared" si="4"/>
        <v>0</v>
      </c>
      <c r="X6">
        <f>IF(AND(F6=0,OR(AND($A6=$U2,$B6&lt;$D6),AND($E6=$U2,$D6&lt;$B6))),1,0)</f>
        <v>0</v>
      </c>
      <c r="Y6">
        <f>IF(F6&gt;0,0,IF($A6=$U2,$B6,IF($E6=$U2,$D6,0)))</f>
        <v>0</v>
      </c>
      <c r="Z6">
        <f>IF(F6&gt;0,0,IF($A6=$U2,$D6,IF($E6=$U2,$B6,0)))</f>
        <v>0</v>
      </c>
      <c r="AA6">
        <f t="shared" si="5"/>
        <v>0</v>
      </c>
      <c r="AB6">
        <f>IF(AND(F6=0,OR($A6=$AB2,$E6=$AB2)),1,0)</f>
        <v>0</v>
      </c>
      <c r="AC6">
        <f>IF(AND(F6=0,OR(AND($A6=$AB2,$B6&gt;$D6),AND($E6=$AB2,$D6&gt;$B6))),1,0)</f>
        <v>0</v>
      </c>
      <c r="AD6">
        <f t="shared" si="6"/>
        <v>0</v>
      </c>
      <c r="AE6">
        <f>IF(AND(F6=0,OR(AND($A6=$AB2,$B6&lt;$D6),AND($E6=$AB2,$D6&lt;$B6))),1,0)</f>
        <v>0</v>
      </c>
      <c r="AF6">
        <f>IF(F6&gt;0,0,IF($A6=$AB2,$B6,IF($E6=$AB2,$D6,0)))</f>
        <v>0</v>
      </c>
      <c r="AG6">
        <f>IF(F6&gt;0,0,IF($A6=$AB2,$D6,IF($E6=$AB2,$B6,0)))</f>
        <v>0</v>
      </c>
      <c r="AH6">
        <f t="shared" si="7"/>
        <v>0</v>
      </c>
      <c r="AJ6" s="28" t="str">
        <f>U2</f>
        <v>vítěz utkání 2st-8</v>
      </c>
      <c r="AK6" s="28">
        <f>U10</f>
        <v>0</v>
      </c>
      <c r="AL6" s="28">
        <f t="shared" ref="AL6:AQ6" si="10">V10</f>
        <v>0</v>
      </c>
      <c r="AM6" s="28">
        <f t="shared" si="10"/>
        <v>0</v>
      </c>
      <c r="AN6" s="28">
        <f t="shared" si="10"/>
        <v>0</v>
      </c>
      <c r="AO6" s="28">
        <f t="shared" si="10"/>
        <v>0</v>
      </c>
      <c r="AP6" s="28">
        <f t="shared" si="10"/>
        <v>0</v>
      </c>
      <c r="AQ6" s="28">
        <f t="shared" si="10"/>
        <v>0</v>
      </c>
      <c r="AS6" s="28" t="str">
        <f>IF($AQ6&gt;=$AQ7,$AJ6,$AJ7)</f>
        <v>vítěz utkání 2st-8</v>
      </c>
      <c r="AT6" s="28">
        <f>VLOOKUP(AS6,$AJ4:$AQ7,8,FALSE)</f>
        <v>0</v>
      </c>
      <c r="AU6" s="28" t="str">
        <f>IF($AT6&lt;=$AT4,$AS6,$AS4)</f>
        <v>vítěz utkání 2st-8</v>
      </c>
      <c r="AV6" s="28">
        <f>VLOOKUP(AU6,$AS4:$AT7,2,FALSE)</f>
        <v>0</v>
      </c>
      <c r="AW6" s="28" t="str">
        <f>IF($AV6&lt;=$AV5,$AU6,$AU5)</f>
        <v>vítěz utkání 2st-8</v>
      </c>
      <c r="AX6" s="28">
        <f>VLOOKUP(AW6,$AU4:$AV7,2,FALSE)</f>
        <v>0</v>
      </c>
      <c r="AY6" s="28">
        <f>VLOOKUP(AW6,$AJ4:$AQ7,6,FALSE)</f>
        <v>0</v>
      </c>
      <c r="AZ6" s="28">
        <f>VLOOKUP(AW6,$AJ4:$AQ7,7,FALSE)</f>
        <v>0</v>
      </c>
      <c r="BA6" s="28">
        <f>AY6-AZ6</f>
        <v>0</v>
      </c>
      <c r="BB6" s="28" t="str">
        <f>IF(AND($AX6=$AX7,$BA7&gt;$BA6),$AW7,$AW6)</f>
        <v>vítěz utkání 2st-8</v>
      </c>
      <c r="BC6" s="28">
        <f>VLOOKUP(BB6,$AW4:$BA7,2,FALSE)</f>
        <v>0</v>
      </c>
      <c r="BD6" s="28">
        <f>VLOOKUP(BB6,$AW4:$BA7,5,FALSE)</f>
        <v>0</v>
      </c>
      <c r="BE6" s="28" t="str">
        <f>IF(AND($BC4=$BC6,$BD6&gt;$BD4),$BB4,$BB6)</f>
        <v>vítěz utkání 2st-8</v>
      </c>
      <c r="BF6" s="28">
        <f>VLOOKUP(BE6,$BB4:$BD7,2,FALSE)</f>
        <v>0</v>
      </c>
      <c r="BG6" s="28">
        <f>VLOOKUP(BE6,$BB4:$BD7,3,FALSE)</f>
        <v>0</v>
      </c>
      <c r="BH6" s="28" t="str">
        <f>IF(AND($BF5=$BF6,$BG6&gt;$BG5),$BE5,$BE6)</f>
        <v>vítěz utkání 2st-8</v>
      </c>
      <c r="BI6" s="28">
        <f>VLOOKUP(BH6,$BE4:$BG7,2,FALSE)</f>
        <v>0</v>
      </c>
      <c r="BJ6" s="28">
        <f>VLOOKUP(BH6,$BE4:$BG7,3,FALSE)</f>
        <v>0</v>
      </c>
      <c r="BK6" s="28">
        <f>VLOOKUP(BH6,$AJ4:$AQ7,6,FALSE)</f>
        <v>0</v>
      </c>
      <c r="BL6" s="28" t="str">
        <f>IF(AND($BI6=$BI7,$BJ6=$BJ7,$BK7&gt;$BK6),$BH7,$BH6)</f>
        <v>vítěz utkání 2st-8</v>
      </c>
      <c r="BM6" s="28">
        <f>VLOOKUP(BL6,$BH4:$BK7,2,FALSE)</f>
        <v>0</v>
      </c>
      <c r="BN6" s="28">
        <f>VLOOKUP(BL6,$BH4:$BK7,3,FALSE)</f>
        <v>0</v>
      </c>
      <c r="BO6" s="28">
        <f>VLOOKUP(BL6,$BH4:$BK7,4,FALSE)</f>
        <v>0</v>
      </c>
      <c r="BP6" s="28" t="str">
        <f>IF(AND($BM4=$BM6,$BN4=$BN6,$BO6&gt;$BO4),$BL4,$BL6)</f>
        <v>vítěz utkání 2st-8</v>
      </c>
      <c r="BQ6" s="28">
        <f>VLOOKUP(BP6,$BL4:$BO7,2,FALSE)</f>
        <v>0</v>
      </c>
      <c r="BR6" s="28">
        <f>VLOOKUP(BP6,$BL4:$BO7,3,FALSE)</f>
        <v>0</v>
      </c>
      <c r="BS6" s="28">
        <f>VLOOKUP(BP6,$BL4:$BO7,4,FALSE)</f>
        <v>0</v>
      </c>
      <c r="BT6" s="28" t="str">
        <f>IF(AND($BQ5=$BQ6,$BR5=$BR6,$BS6&gt;$BS5),$BP5,$BP6)</f>
        <v>vítěz utkání 2st-8</v>
      </c>
      <c r="BU6" s="28">
        <f>VLOOKUP(BT6,$BP4:$BS7,2,FALSE)</f>
        <v>0</v>
      </c>
      <c r="BV6" s="28">
        <f>VLOOKUP(BT6,$BP4:$BS7,3,FALSE)</f>
        <v>0</v>
      </c>
      <c r="BW6" s="28">
        <f>VLOOKUP(BT6,$BP4:$BS7,4,FALSE)</f>
        <v>0</v>
      </c>
      <c r="BX6" s="28" t="str">
        <f>BT6</f>
        <v>vítěz utkání 2st-8</v>
      </c>
      <c r="BY6" s="28">
        <f>VLOOKUP($BX6,$AJ4:$AQ7,2,FALSE)</f>
        <v>0</v>
      </c>
      <c r="BZ6" s="28">
        <f>VLOOKUP($BX6,$AJ4:$AQ7,3,FALSE)</f>
        <v>0</v>
      </c>
      <c r="CA6" s="28">
        <f>VLOOKUP($BX6,$AJ4:$AQ7,4,FALSE)</f>
        <v>0</v>
      </c>
      <c r="CB6" s="28">
        <f>VLOOKUP($BX6,$AJ4:$AQ7,5,FALSE)</f>
        <v>0</v>
      </c>
      <c r="CC6" s="28">
        <f>VLOOKUP($BX6,$AJ4:$AQ7,6,FALSE)</f>
        <v>0</v>
      </c>
      <c r="CD6" s="28">
        <f>VLOOKUP($BX6,$AJ4:$AQ7,7,FALSE)</f>
        <v>0</v>
      </c>
      <c r="CE6" s="28">
        <f>VLOOKUP($BX6,$AJ4:$AQ7,8,FALSE)</f>
        <v>0</v>
      </c>
      <c r="CF6" s="128" t="str">
        <f>CONCATENATE(CC6,":",CD6)</f>
        <v>0:0</v>
      </c>
    </row>
    <row r="7" spans="1:84" x14ac:dyDescent="0.2">
      <c r="A7" s="27" t="str">
        <f>'3-zapasy'!D6</f>
        <v>vítěz utkání 2st-9</v>
      </c>
      <c r="B7" s="27" t="str">
        <f>'3-zapasy'!I6</f>
        <v/>
      </c>
      <c r="C7" s="27" t="e">
        <f>'3-zapasy'!#REF!</f>
        <v>#REF!</v>
      </c>
      <c r="D7" s="27" t="str">
        <f>'3-zapasy'!J6</f>
        <v/>
      </c>
      <c r="E7" s="27" t="str">
        <f>'3-zapasy'!E6</f>
        <v>vítěz utkání 2st-1</v>
      </c>
      <c r="F7" s="28">
        <f>COUNTBLANK('3-zapasy'!I6:'3-zapasy'!J6)</f>
        <v>2</v>
      </c>
      <c r="G7" s="28">
        <f>IF(AND(F7=0,OR($A7=$G2,$E7=$G2)),1,0)</f>
        <v>0</v>
      </c>
      <c r="H7" s="28">
        <f>IF(AND(F7=0,OR(AND($A7=$G2,$B7&gt;$D7),AND($E7=$G2,$D7&gt;$B7))),1,0)</f>
        <v>0</v>
      </c>
      <c r="I7" s="28">
        <f t="shared" si="0"/>
        <v>0</v>
      </c>
      <c r="J7" s="28">
        <f>IF(AND(F7=0,OR(AND($A7=$G2,$B7&lt;$D7),AND($E7=$G2,$D7&lt;$B7))),1,0)</f>
        <v>0</v>
      </c>
      <c r="K7" s="28">
        <f>IF(F7&gt;0,0,IF($A7=$G2,$B7,IF($E7=$G2,$D7,0)))</f>
        <v>0</v>
      </c>
      <c r="L7" s="28">
        <f>IF(F7&gt;0,0,IF($A7=$G2,$D7,IF($E7=$G2,$B7,0)))</f>
        <v>0</v>
      </c>
      <c r="M7">
        <f t="shared" si="1"/>
        <v>0</v>
      </c>
      <c r="N7">
        <f>IF(AND(F7=0,OR($A7=$N2,$E7=$N2)),1,0)</f>
        <v>0</v>
      </c>
      <c r="O7">
        <f>IF(AND(F7=0,OR(AND($A7=$N2,$B7&gt;$D7),AND($E7=$N2,$D7&gt;$B7))),1,0)</f>
        <v>0</v>
      </c>
      <c r="P7">
        <f t="shared" si="2"/>
        <v>0</v>
      </c>
      <c r="Q7">
        <f>IF(AND(F7=0,OR(AND($A7=$N2,$B7&lt;$D7),AND($E7=$N2,$D7&lt;$B7))),1,0)</f>
        <v>0</v>
      </c>
      <c r="R7">
        <f>IF(F7&gt;0,0,IF($A7=$N2,$B7,IF($E7=$N2,$D7,0)))</f>
        <v>0</v>
      </c>
      <c r="S7">
        <f>IF(F7&gt;0,0,IF($A7=$N2,$D7,IF($E7=$N2,$B7,0)))</f>
        <v>0</v>
      </c>
      <c r="T7">
        <f t="shared" si="3"/>
        <v>0</v>
      </c>
      <c r="U7">
        <f>IF(AND(F7=0,OR($A7=$U2,$E7=$U2)),1,0)</f>
        <v>0</v>
      </c>
      <c r="V7">
        <f>IF(AND(F7=0,OR(AND($A7=$U2,$B7&gt;$D7),AND($E7=$U2,$D7&gt;$B7))),1,0)</f>
        <v>0</v>
      </c>
      <c r="W7">
        <f t="shared" si="4"/>
        <v>0</v>
      </c>
      <c r="X7">
        <f>IF(AND(F7=0,OR(AND($A7=$U2,$B7&lt;$D7),AND($E7=$U2,$D7&lt;$B7))),1,0)</f>
        <v>0</v>
      </c>
      <c r="Y7">
        <f>IF(F7&gt;0,0,IF($A7=$U2,$B7,IF($E7=$U2,$D7,0)))</f>
        <v>0</v>
      </c>
      <c r="Z7">
        <f>IF(F7&gt;0,0,IF($A7=$U2,$D7,IF($E7=$U2,$B7,0)))</f>
        <v>0</v>
      </c>
      <c r="AA7">
        <f t="shared" si="5"/>
        <v>0</v>
      </c>
      <c r="AB7">
        <f>IF(AND(F7=0,OR($A7=$AB2,$E7=$AB2)),1,0)</f>
        <v>0</v>
      </c>
      <c r="AC7">
        <f>IF(AND(F7=0,OR(AND($A7=$AB2,$B7&gt;$D7),AND($E7=$AB2,$D7&gt;$B7))),1,0)</f>
        <v>0</v>
      </c>
      <c r="AD7">
        <f t="shared" si="6"/>
        <v>0</v>
      </c>
      <c r="AE7">
        <f>IF(AND(F7=0,OR(AND($A7=$AB2,$B7&lt;$D7),AND($E7=$AB2,$D7&lt;$B7))),1,0)</f>
        <v>0</v>
      </c>
      <c r="AF7">
        <f>IF(F7&gt;0,0,IF($A7=$AB2,$B7,IF($E7=$AB2,$D7,0)))</f>
        <v>0</v>
      </c>
      <c r="AG7">
        <f>IF(F7&gt;0,0,IF($A7=$AB2,$D7,IF($E7=$AB2,$B7,0)))</f>
        <v>0</v>
      </c>
      <c r="AH7">
        <f t="shared" si="7"/>
        <v>0</v>
      </c>
      <c r="AJ7" s="28" t="str">
        <f>AB2</f>
        <v>vítěz utkání 2st-9</v>
      </c>
      <c r="AK7" s="28">
        <f>AB10</f>
        <v>0</v>
      </c>
      <c r="AL7" s="28">
        <f t="shared" ref="AL7:AQ7" si="11">AC10</f>
        <v>0</v>
      </c>
      <c r="AM7" s="28">
        <f t="shared" si="11"/>
        <v>0</v>
      </c>
      <c r="AN7" s="28">
        <f t="shared" si="11"/>
        <v>0</v>
      </c>
      <c r="AO7" s="28">
        <f t="shared" si="11"/>
        <v>0</v>
      </c>
      <c r="AP7" s="28">
        <f t="shared" si="11"/>
        <v>0</v>
      </c>
      <c r="AQ7" s="28">
        <f t="shared" si="11"/>
        <v>0</v>
      </c>
      <c r="AS7" s="28" t="str">
        <f>IF($AQ7&lt;=$AQ6,$AJ7,$AJ6)</f>
        <v>vítěz utkání 2st-9</v>
      </c>
      <c r="AT7" s="28">
        <f>VLOOKUP(AS7,$AJ4:$AQ7,8,FALSE)</f>
        <v>0</v>
      </c>
      <c r="AU7" s="28" t="str">
        <f>IF($AT7&lt;=$AT5,$AS7,$AS5)</f>
        <v>vítěz utkání 2st-9</v>
      </c>
      <c r="AV7" s="28">
        <f>VLOOKUP(AU7,$AS4:$AT7,2,FALSE)</f>
        <v>0</v>
      </c>
      <c r="AW7" s="28" t="str">
        <f>IF($AV7&lt;=$AV4,$AU7,$AU4)</f>
        <v>vítěz utkání 2st-9</v>
      </c>
      <c r="AX7" s="28">
        <f>VLOOKUP(AW7,$AU4:$AV7,2,FALSE)</f>
        <v>0</v>
      </c>
      <c r="AY7" s="28">
        <f>VLOOKUP(AW7,$AJ4:$AQ7,6,FALSE)</f>
        <v>0</v>
      </c>
      <c r="AZ7" s="28">
        <f>VLOOKUP(AW7,$AJ4:$AQ7,7,FALSE)</f>
        <v>0</v>
      </c>
      <c r="BA7" s="28">
        <f>AY7-AZ7</f>
        <v>0</v>
      </c>
      <c r="BB7" s="28" t="str">
        <f>IF(AND($AX6=$AX7,$BA7&gt;$BA6),$AW6,$AW7)</f>
        <v>vítěz utkání 2st-9</v>
      </c>
      <c r="BC7" s="28">
        <f>VLOOKUP(BB7,$AW4:$BA7,2,FALSE)</f>
        <v>0</v>
      </c>
      <c r="BD7" s="28">
        <f>VLOOKUP(BB7,$AW4:$BA7,5,FALSE)</f>
        <v>0</v>
      </c>
      <c r="BE7" s="28" t="str">
        <f>IF(AND($BC5=$BC7,$BD7&gt;$BD5),$BB5,$BB7)</f>
        <v>vítěz utkání 2st-9</v>
      </c>
      <c r="BF7" s="28">
        <f>VLOOKUP(BE7,$BB4:$BD7,2,FALSE)</f>
        <v>0</v>
      </c>
      <c r="BG7" s="28">
        <f>VLOOKUP(BE7,$BB4:$BD7,3,FALSE)</f>
        <v>0</v>
      </c>
      <c r="BH7" s="28" t="str">
        <f>IF(AND($BF4=$BF7,$BG7&gt;$BG4),$BE4,$BE7)</f>
        <v>vítěz utkání 2st-9</v>
      </c>
      <c r="BI7" s="28">
        <f>VLOOKUP(BH7,$BE4:$BG7,2,FALSE)</f>
        <v>0</v>
      </c>
      <c r="BJ7" s="28">
        <f>VLOOKUP(BH7,$BE4:$BG7,3,FALSE)</f>
        <v>0</v>
      </c>
      <c r="BK7" s="28">
        <f>VLOOKUP(BH7,$AJ4:$AQ7,6,FALSE)</f>
        <v>0</v>
      </c>
      <c r="BL7" s="28" t="str">
        <f>IF(AND($BI6=$BI7,$BJ6=$BJ7,$BK7&gt;$BK6),$BH6,$BH7)</f>
        <v>vítěz utkání 2st-9</v>
      </c>
      <c r="BM7" s="28">
        <f>VLOOKUP(BL7,$BH4:$BK7,2,FALSE)</f>
        <v>0</v>
      </c>
      <c r="BN7" s="28">
        <f>VLOOKUP(BL7,$BH4:$BK7,3,FALSE)</f>
        <v>0</v>
      </c>
      <c r="BO7" s="28">
        <f>VLOOKUP(BL7,$BH4:$BK7,4,FALSE)</f>
        <v>0</v>
      </c>
      <c r="BP7" s="28" t="str">
        <f>IF(AND($BM5=$BM7,$BN5=$BN7,$BO7&gt;$BO5),$BL5,$BL7)</f>
        <v>vítěz utkání 2st-9</v>
      </c>
      <c r="BQ7" s="28">
        <f>VLOOKUP(BP7,$BL4:$BO7,2,FALSE)</f>
        <v>0</v>
      </c>
      <c r="BR7" s="28">
        <f>VLOOKUP(BP7,$BL4:$BO7,3,FALSE)</f>
        <v>0</v>
      </c>
      <c r="BS7" s="28">
        <f>VLOOKUP(BP7,$BL4:$BO7,4,FALSE)</f>
        <v>0</v>
      </c>
      <c r="BT7" s="28" t="str">
        <f>IF(AND($BQ4=$BQ7,$BR4=$BR7,$BS7&gt;$BS4),$BP4,$BP7)</f>
        <v>vítěz utkání 2st-9</v>
      </c>
      <c r="BU7" s="28">
        <f>VLOOKUP(BT7,$BP4:$BS7,2,FALSE)</f>
        <v>0</v>
      </c>
      <c r="BV7" s="28">
        <f>VLOOKUP(BT7,$BP4:$BS7,3,FALSE)</f>
        <v>0</v>
      </c>
      <c r="BW7" s="28">
        <f>VLOOKUP(BT7,$BP4:$BS7,4,FALSE)</f>
        <v>0</v>
      </c>
      <c r="BX7" s="28" t="str">
        <f>BT7</f>
        <v>vítěz utkání 2st-9</v>
      </c>
      <c r="BY7" s="28">
        <f>VLOOKUP($BX7,$AJ4:$AQ7,2,FALSE)</f>
        <v>0</v>
      </c>
      <c r="BZ7" s="28">
        <f>VLOOKUP($BX7,$AJ4:$AQ7,3,FALSE)</f>
        <v>0</v>
      </c>
      <c r="CA7" s="28">
        <f>VLOOKUP($BX7,$AJ4:$AQ7,4,FALSE)</f>
        <v>0</v>
      </c>
      <c r="CB7" s="28">
        <f>VLOOKUP($BX7,$AJ4:$AQ7,5,FALSE)</f>
        <v>0</v>
      </c>
      <c r="CC7" s="28">
        <f>VLOOKUP($BX7,$AJ4:$AQ7,6,FALSE)</f>
        <v>0</v>
      </c>
      <c r="CD7" s="28">
        <f>VLOOKUP($BX7,$AJ4:$AQ7,7,FALSE)</f>
        <v>0</v>
      </c>
      <c r="CE7" s="28">
        <f>VLOOKUP($BX7,$AJ4:$AQ7,8,FALSE)</f>
        <v>0</v>
      </c>
      <c r="CF7" s="128" t="str">
        <f>CONCATENATE(CC7,":",CD7)</f>
        <v>0:0</v>
      </c>
    </row>
    <row r="8" spans="1:84" x14ac:dyDescent="0.2">
      <c r="A8" s="27" t="str">
        <f>'3-zapasy'!D7</f>
        <v>vítěz utkání 2st-9</v>
      </c>
      <c r="B8" s="27" t="str">
        <f>'3-zapasy'!I7</f>
        <v/>
      </c>
      <c r="C8" s="27" t="e">
        <f>'3-zapasy'!#REF!</f>
        <v>#REF!</v>
      </c>
      <c r="D8" s="27" t="str">
        <f>'3-zapasy'!J7</f>
        <v/>
      </c>
      <c r="E8" s="27" t="str">
        <f>'3-zapasy'!E7</f>
        <v>vítěz utkání 2st-16</v>
      </c>
      <c r="F8" s="28">
        <f>COUNTBLANK('3-zapasy'!I7:'3-zapasy'!J7)</f>
        <v>2</v>
      </c>
      <c r="G8" s="28">
        <f>IF(AND(F8=0,OR($A8=$G2,$E8=$G2)),1,0)</f>
        <v>0</v>
      </c>
      <c r="H8" s="28">
        <f>IF(AND(F8=0,OR(AND($A8=$G2,$B8&gt;$D8),AND($E8=$G2,$D8&gt;$B8))),1,0)</f>
        <v>0</v>
      </c>
      <c r="I8" s="28">
        <f t="shared" si="0"/>
        <v>0</v>
      </c>
      <c r="J8" s="28">
        <f>IF(AND(F8=0,OR(AND($A8=$G2,$B8&lt;$D8),AND($E8=$G2,$D8&lt;$B8))),1,0)</f>
        <v>0</v>
      </c>
      <c r="K8" s="28">
        <f>IF(F8&gt;0,0,IF($A8=$G2,$B8,IF($E8=$G2,$D8,0)))</f>
        <v>0</v>
      </c>
      <c r="L8" s="28">
        <f>IF(F8&gt;0,0,IF($A8=$G2,$D8,IF($E8=$G2,$B8,0)))</f>
        <v>0</v>
      </c>
      <c r="M8">
        <f t="shared" si="1"/>
        <v>0</v>
      </c>
      <c r="N8">
        <f>IF(AND(F8=0,OR($A8=$N2,$E8=$N2)),1,0)</f>
        <v>0</v>
      </c>
      <c r="O8">
        <f>IF(AND(F8=0,OR(AND($A8=$N2,$B8&gt;$D8),AND($E8=$N2,$D8&gt;$B8))),1,0)</f>
        <v>0</v>
      </c>
      <c r="P8">
        <f t="shared" si="2"/>
        <v>0</v>
      </c>
      <c r="Q8">
        <f>IF(AND(F8=0,OR(AND($A8=$N2,$B8&lt;$D8),AND($E8=$N2,$D8&lt;$B8))),1,0)</f>
        <v>0</v>
      </c>
      <c r="R8">
        <f>IF(F8&gt;0,0,IF($A8=$N2,$B8,IF($E8=$N2,$D8,0)))</f>
        <v>0</v>
      </c>
      <c r="S8">
        <f>IF(F8&gt;0,0,IF($A8=$N2,$D8,IF($E8=$N2,$B8,0)))</f>
        <v>0</v>
      </c>
      <c r="T8">
        <f t="shared" si="3"/>
        <v>0</v>
      </c>
      <c r="U8">
        <f>IF(AND(F8=0,OR($A8=$U2,$E8=$U2)),1,0)</f>
        <v>0</v>
      </c>
      <c r="V8">
        <f>IF(AND(F8=0,OR(AND($A8=$U2,$B8&gt;$D8),AND($E8=$U2,$D8&gt;$B8))),1,0)</f>
        <v>0</v>
      </c>
      <c r="W8">
        <f t="shared" si="4"/>
        <v>0</v>
      </c>
      <c r="X8">
        <f>IF(AND(F8=0,OR(AND($A8=$U2,$B8&lt;$D8),AND($E8=$U2,$D8&lt;$B8))),1,0)</f>
        <v>0</v>
      </c>
      <c r="Y8">
        <f>IF(F8&gt;0,0,IF($A8=$U2,$B8,IF($E8=$U2,$D8,0)))</f>
        <v>0</v>
      </c>
      <c r="Z8">
        <f>IF(F8&gt;0,0,IF($A8=$U2,$D8,IF($E8=$U2,$B8,0)))</f>
        <v>0</v>
      </c>
      <c r="AA8">
        <f t="shared" si="5"/>
        <v>0</v>
      </c>
      <c r="AB8">
        <f>IF(AND(F8=0,OR($A8=$AB2,$E8=$AB2)),1,0)</f>
        <v>0</v>
      </c>
      <c r="AC8">
        <f>IF(AND(F8=0,OR(AND($A8=$AB2,$B8&gt;$D8),AND($E8=$AB2,$D8&gt;$B8))),1,0)</f>
        <v>0</v>
      </c>
      <c r="AD8">
        <f t="shared" si="6"/>
        <v>0</v>
      </c>
      <c r="AE8">
        <f>IF(AND(F8=0,OR(AND($A8=$AB2,$B8&lt;$D8),AND($E8=$AB2,$D8&lt;$B8))),1,0)</f>
        <v>0</v>
      </c>
      <c r="AF8">
        <f>IF(F8&gt;0,0,IF($A8=$AB2,$B8,IF($E8=$AB2,$D8,0)))</f>
        <v>0</v>
      </c>
      <c r="AG8">
        <f>IF(F8&gt;0,0,IF($A8=$AB2,$D8,IF($E8=$AB2,$B8,0)))</f>
        <v>0</v>
      </c>
      <c r="AH8">
        <f t="shared" si="7"/>
        <v>0</v>
      </c>
    </row>
    <row r="9" spans="1:84" x14ac:dyDescent="0.2">
      <c r="A9" s="27" t="str">
        <f>'3-zapasy'!D8</f>
        <v>vítěz utkání 2st-1</v>
      </c>
      <c r="B9" s="27" t="str">
        <f>'3-zapasy'!I8</f>
        <v/>
      </c>
      <c r="C9" s="27" t="e">
        <f>'3-zapasy'!#REF!</f>
        <v>#REF!</v>
      </c>
      <c r="D9" s="27" t="str">
        <f>'3-zapasy'!J8</f>
        <v/>
      </c>
      <c r="E9" s="27" t="str">
        <f>'3-zapasy'!E8</f>
        <v>vítěz utkání 2st-8</v>
      </c>
      <c r="F9" s="28">
        <f>COUNTBLANK('3-zapasy'!I8:'3-zapasy'!J8)</f>
        <v>2</v>
      </c>
      <c r="G9" s="28">
        <f>IF(AND(F9=0,OR($A9=$G2,$E9=$G2)),1,0)</f>
        <v>0</v>
      </c>
      <c r="H9" s="28">
        <f>IF(AND(F9=0,OR(AND($A9=$G2,$B9&gt;$D9),AND($E9=$G2,$D9&gt;$B9))),1,0)</f>
        <v>0</v>
      </c>
      <c r="I9" s="28">
        <f t="shared" si="0"/>
        <v>0</v>
      </c>
      <c r="J9" s="28">
        <f>IF(AND(F9=0,OR(AND($A9=$G2,$B9&lt;$D9),AND($E9=$G2,$D9&lt;$B9))),1,0)</f>
        <v>0</v>
      </c>
      <c r="K9" s="28">
        <f>IF(F9&gt;0,0,IF($A9=$G2,$B9,IF($E9=$G2,$D9,0)))</f>
        <v>0</v>
      </c>
      <c r="L9" s="28">
        <f>IF(F9&gt;0,0,IF($A9=$G2,$D9,IF($E9=$G2,$B9,0)))</f>
        <v>0</v>
      </c>
      <c r="M9">
        <f t="shared" si="1"/>
        <v>0</v>
      </c>
      <c r="N9">
        <f>IF(AND(F9=0,OR($A9=$N2,$E9=$N2)),1,0)</f>
        <v>0</v>
      </c>
      <c r="O9">
        <f>IF(AND(F9=0,OR(AND($A9=$N2,$B9&gt;$D9),AND($E9=$N2,$D9&gt;$B9))),1,0)</f>
        <v>0</v>
      </c>
      <c r="P9">
        <f t="shared" si="2"/>
        <v>0</v>
      </c>
      <c r="Q9">
        <f>IF(AND(F9=0,OR(AND($A9=$N2,$B9&lt;$D9),AND($E9=$N2,$D9&lt;$B9))),1,0)</f>
        <v>0</v>
      </c>
      <c r="R9">
        <f>IF(F9&gt;0,0,IF($A9=$N2,$B9,IF($E9=$N2,$D9,0)))</f>
        <v>0</v>
      </c>
      <c r="S9">
        <f>IF(F9&gt;0,0,IF($A9=$N2,$D9,IF($E9=$N2,$B9,0)))</f>
        <v>0</v>
      </c>
      <c r="T9">
        <f t="shared" si="3"/>
        <v>0</v>
      </c>
      <c r="U9">
        <f>IF(AND(F9=0,OR($A9=$U2,$E9=$U2)),1,0)</f>
        <v>0</v>
      </c>
      <c r="V9">
        <f>IF(AND(F9=0,OR(AND($A9=$U2,$B9&gt;$D9),AND($E9=$U2,$D9&gt;$B9))),1,0)</f>
        <v>0</v>
      </c>
      <c r="W9">
        <f t="shared" si="4"/>
        <v>0</v>
      </c>
      <c r="X9">
        <f>IF(AND(F9=0,OR(AND($A9=$U2,$B9&lt;$D9),AND($E9=$U2,$D9&lt;$B9))),1,0)</f>
        <v>0</v>
      </c>
      <c r="Y9">
        <f>IF(F9&gt;0,0,IF($A9=$U2,$B9,IF($E9=$U2,$D9,0)))</f>
        <v>0</v>
      </c>
      <c r="Z9">
        <f>IF(F9&gt;0,0,IF($A9=$U2,$D9,IF($E9=$U2,$B9,0)))</f>
        <v>0</v>
      </c>
      <c r="AA9">
        <f t="shared" si="5"/>
        <v>0</v>
      </c>
      <c r="AB9">
        <f>IF(AND(F9=0,OR($A9=$AB2,$E9=$AB2)),1,0)</f>
        <v>0</v>
      </c>
      <c r="AC9">
        <f>IF(AND(F9=0,OR(AND($A9=$AB2,$B9&gt;$D9),AND($E9=$AB2,$D9&gt;$B9))),1,0)</f>
        <v>0</v>
      </c>
      <c r="AD9">
        <f t="shared" si="6"/>
        <v>0</v>
      </c>
      <c r="AE9">
        <f>IF(AND(F9=0,OR(AND($A9=$AB2,$B9&lt;$D9),AND($E9=$AB2,$D9&lt;$B9))),1,0)</f>
        <v>0</v>
      </c>
      <c r="AF9">
        <f>IF(F9&gt;0,0,IF($A9=$AB2,$B9,IF($E9=$AB2,$D9,0)))</f>
        <v>0</v>
      </c>
      <c r="AG9">
        <f>IF(F9&gt;0,0,IF($A9=$AB2,$D9,IF($E9=$AB2,$B9,0)))</f>
        <v>0</v>
      </c>
      <c r="AH9">
        <f t="shared" si="7"/>
        <v>0</v>
      </c>
    </row>
    <row r="10" spans="1:84" x14ac:dyDescent="0.2">
      <c r="A10" s="27" t="s">
        <v>92</v>
      </c>
      <c r="B10" s="27">
        <v>2</v>
      </c>
      <c r="G10" s="28">
        <f t="shared" ref="G10:M10" si="12">SUM(G4:G9)</f>
        <v>0</v>
      </c>
      <c r="H10" s="28">
        <f t="shared" si="12"/>
        <v>0</v>
      </c>
      <c r="I10" s="28">
        <f t="shared" si="12"/>
        <v>0</v>
      </c>
      <c r="J10" s="28">
        <f t="shared" si="12"/>
        <v>0</v>
      </c>
      <c r="K10" s="28">
        <f t="shared" si="12"/>
        <v>0</v>
      </c>
      <c r="L10" s="28">
        <f t="shared" si="12"/>
        <v>0</v>
      </c>
      <c r="M10">
        <f t="shared" si="12"/>
        <v>0</v>
      </c>
      <c r="N10">
        <f t="shared" ref="N10:AH10" si="13">SUM(N4:N9)</f>
        <v>0</v>
      </c>
      <c r="O10">
        <f t="shared" si="13"/>
        <v>0</v>
      </c>
      <c r="P10">
        <f t="shared" si="13"/>
        <v>0</v>
      </c>
      <c r="Q10">
        <f t="shared" si="13"/>
        <v>0</v>
      </c>
      <c r="R10">
        <f t="shared" si="13"/>
        <v>0</v>
      </c>
      <c r="S10">
        <f t="shared" si="13"/>
        <v>0</v>
      </c>
      <c r="T10">
        <f>SUM(T4:T9)</f>
        <v>0</v>
      </c>
      <c r="U10">
        <f t="shared" si="13"/>
        <v>0</v>
      </c>
      <c r="V10">
        <f t="shared" si="13"/>
        <v>0</v>
      </c>
      <c r="W10">
        <f t="shared" si="13"/>
        <v>0</v>
      </c>
      <c r="X10">
        <f t="shared" si="13"/>
        <v>0</v>
      </c>
      <c r="Y10">
        <f t="shared" si="13"/>
        <v>0</v>
      </c>
      <c r="Z10">
        <f t="shared" si="13"/>
        <v>0</v>
      </c>
      <c r="AA10">
        <f t="shared" si="13"/>
        <v>0</v>
      </c>
      <c r="AB10">
        <f t="shared" si="13"/>
        <v>0</v>
      </c>
      <c r="AC10">
        <f t="shared" si="13"/>
        <v>0</v>
      </c>
      <c r="AD10">
        <f t="shared" si="13"/>
        <v>0</v>
      </c>
      <c r="AE10">
        <f t="shared" si="13"/>
        <v>0</v>
      </c>
      <c r="AF10">
        <f t="shared" si="13"/>
        <v>0</v>
      </c>
      <c r="AG10">
        <f t="shared" si="13"/>
        <v>0</v>
      </c>
      <c r="AH10">
        <f t="shared" si="13"/>
        <v>0</v>
      </c>
    </row>
    <row r="12" spans="1:84" x14ac:dyDescent="0.2">
      <c r="A12" s="463" t="str">
        <f>'3-zapasy'!A9:D9</f>
        <v>skupina 3B</v>
      </c>
      <c r="B12" s="464"/>
      <c r="C12" s="464"/>
      <c r="D12" s="464"/>
      <c r="E12" s="464"/>
      <c r="F12" s="28" t="s">
        <v>67</v>
      </c>
      <c r="G12" s="465" t="str">
        <f>A14</f>
        <v>vítěz utkání 2st-2</v>
      </c>
      <c r="H12" s="465"/>
      <c r="I12" s="465"/>
      <c r="J12" s="465"/>
      <c r="K12" s="465"/>
      <c r="L12" s="465"/>
      <c r="M12" s="465"/>
      <c r="N12" s="465" t="str">
        <f>E14</f>
        <v>vítěz utkání 2st-15</v>
      </c>
      <c r="O12" s="465"/>
      <c r="P12" s="465"/>
      <c r="Q12" s="465"/>
      <c r="R12" s="465"/>
      <c r="S12" s="465"/>
      <c r="T12" s="465"/>
      <c r="U12" s="465" t="str">
        <f>A15</f>
        <v>vítěz utkání 2st-7</v>
      </c>
      <c r="V12" s="465"/>
      <c r="W12" s="465"/>
      <c r="X12" s="465"/>
      <c r="Y12" s="465"/>
      <c r="Z12" s="465"/>
      <c r="AA12" s="465"/>
      <c r="AB12" s="465" t="str">
        <f>E15</f>
        <v>vítěz utkání 2st-10</v>
      </c>
      <c r="AC12" s="465"/>
      <c r="AD12" s="465"/>
      <c r="AE12" s="465"/>
      <c r="AF12" s="465"/>
      <c r="AG12" s="465"/>
      <c r="AH12" s="465"/>
      <c r="AJ12" s="465" t="s">
        <v>68</v>
      </c>
      <c r="AK12" s="465"/>
      <c r="AL12" s="465"/>
      <c r="AM12" s="465"/>
      <c r="AN12" s="465"/>
      <c r="AO12" s="465"/>
      <c r="AP12" s="465"/>
      <c r="AQ12" s="465"/>
      <c r="BX12" s="28" t="s">
        <v>69</v>
      </c>
    </row>
    <row r="13" spans="1:84" x14ac:dyDescent="0.2">
      <c r="A13" s="464"/>
      <c r="B13" s="464"/>
      <c r="C13" s="464"/>
      <c r="D13" s="464"/>
      <c r="E13" s="464"/>
      <c r="F13" s="28" t="s">
        <v>70</v>
      </c>
      <c r="G13" s="28" t="s">
        <v>71</v>
      </c>
      <c r="H13" s="28" t="s">
        <v>72</v>
      </c>
      <c r="I13" s="28" t="s">
        <v>73</v>
      </c>
      <c r="J13" s="28" t="s">
        <v>74</v>
      </c>
      <c r="K13" s="28" t="s">
        <v>75</v>
      </c>
      <c r="L13" s="28" t="s">
        <v>76</v>
      </c>
      <c r="M13" s="28" t="s">
        <v>77</v>
      </c>
      <c r="N13" s="28" t="s">
        <v>71</v>
      </c>
      <c r="O13" s="28" t="s">
        <v>72</v>
      </c>
      <c r="P13" s="28" t="s">
        <v>73</v>
      </c>
      <c r="Q13" s="28" t="s">
        <v>74</v>
      </c>
      <c r="R13" s="28" t="s">
        <v>75</v>
      </c>
      <c r="S13" s="28" t="s">
        <v>76</v>
      </c>
      <c r="T13" s="28" t="s">
        <v>77</v>
      </c>
      <c r="U13" s="28" t="s">
        <v>71</v>
      </c>
      <c r="V13" s="28" t="s">
        <v>72</v>
      </c>
      <c r="W13" s="28" t="s">
        <v>73</v>
      </c>
      <c r="X13" s="28" t="s">
        <v>74</v>
      </c>
      <c r="Y13" s="28" t="s">
        <v>75</v>
      </c>
      <c r="Z13" s="28" t="s">
        <v>76</v>
      </c>
      <c r="AA13" s="28" t="s">
        <v>77</v>
      </c>
      <c r="AB13" s="28" t="s">
        <v>71</v>
      </c>
      <c r="AC13" s="28" t="s">
        <v>72</v>
      </c>
      <c r="AD13" s="28" t="s">
        <v>73</v>
      </c>
      <c r="AE13" s="28" t="s">
        <v>74</v>
      </c>
      <c r="AF13" s="28" t="s">
        <v>75</v>
      </c>
      <c r="AG13" s="28" t="s">
        <v>76</v>
      </c>
      <c r="AH13" s="28" t="s">
        <v>77</v>
      </c>
      <c r="AK13" s="28" t="s">
        <v>71</v>
      </c>
      <c r="AL13" s="28" t="s">
        <v>72</v>
      </c>
      <c r="AM13" s="28" t="s">
        <v>73</v>
      </c>
      <c r="AN13" s="28" t="s">
        <v>74</v>
      </c>
      <c r="AO13" s="28" t="s">
        <v>75</v>
      </c>
      <c r="AP13" s="28" t="s">
        <v>76</v>
      </c>
      <c r="AQ13" s="28" t="s">
        <v>77</v>
      </c>
      <c r="AS13" s="28" t="s">
        <v>78</v>
      </c>
      <c r="AU13" s="28" t="s">
        <v>79</v>
      </c>
      <c r="AW13" s="28" t="s">
        <v>80</v>
      </c>
      <c r="AY13" s="28" t="s">
        <v>81</v>
      </c>
      <c r="BB13" s="28" t="s">
        <v>82</v>
      </c>
      <c r="BE13" s="28" t="s">
        <v>83</v>
      </c>
      <c r="BH13" s="28" t="s">
        <v>84</v>
      </c>
      <c r="BK13" s="28" t="s">
        <v>85</v>
      </c>
      <c r="BL13" s="28" t="s">
        <v>86</v>
      </c>
      <c r="BP13" s="28" t="s">
        <v>87</v>
      </c>
      <c r="BT13" s="28" t="s">
        <v>88</v>
      </c>
      <c r="BY13" s="28" t="s">
        <v>65</v>
      </c>
      <c r="BZ13" s="28" t="s">
        <v>89</v>
      </c>
      <c r="CA13" s="28" t="s">
        <v>58</v>
      </c>
      <c r="CB13" s="28" t="s">
        <v>90</v>
      </c>
      <c r="CC13" s="28" t="s">
        <v>51</v>
      </c>
      <c r="CD13" s="28" t="s">
        <v>53</v>
      </c>
      <c r="CE13" s="28" t="s">
        <v>91</v>
      </c>
    </row>
    <row r="14" spans="1:84" x14ac:dyDescent="0.2">
      <c r="A14" s="27" t="str">
        <f>'3-zapasy'!D11</f>
        <v>vítěz utkání 2st-2</v>
      </c>
      <c r="B14" s="27" t="str">
        <f>'3-zapasy'!I11</f>
        <v/>
      </c>
      <c r="C14" s="27" t="e">
        <f>'3-zapasy'!#REF!</f>
        <v>#REF!</v>
      </c>
      <c r="D14" s="27" t="str">
        <f>'3-zapasy'!J11</f>
        <v/>
      </c>
      <c r="E14" s="27" t="str">
        <f>'3-zapasy'!E11</f>
        <v>vítěz utkání 2st-15</v>
      </c>
      <c r="F14" s="28">
        <f>COUNTBLANK('3-zapasy'!I11:'3-zapasy'!J11)</f>
        <v>2</v>
      </c>
      <c r="G14" s="28">
        <f>IF(AND(F14=0,OR($A14=$G12,$E14=$G12)),1,0)</f>
        <v>0</v>
      </c>
      <c r="H14" s="28">
        <f>IF(AND(F14=0,OR(AND($A14=$G12,$B14&gt;$D14),AND($E14=$G12,$D14&gt;$B14))),1,0)</f>
        <v>0</v>
      </c>
      <c r="I14" s="28">
        <f t="shared" ref="I14:I19" si="14">IF(AND(F14=0,G14=1,$B14=$D14),1,0)</f>
        <v>0</v>
      </c>
      <c r="J14" s="28">
        <f>IF(AND(F14=0,OR(AND($A14=$G12,$B14&lt;$D14),AND($E14=$G12,$D14&lt;$B14))),1,0)</f>
        <v>0</v>
      </c>
      <c r="K14" s="28">
        <f>IF(F14&gt;0,0,IF($A14=$G12,$B14,IF($E14=$G12,$D14,0)))</f>
        <v>0</v>
      </c>
      <c r="L14" s="28">
        <f>IF(F14&gt;0,0,IF($A14=$G12,$D14,IF($E14=$G12,$B14,0)))</f>
        <v>0</v>
      </c>
      <c r="M14">
        <f t="shared" ref="M14:M19" si="15">(($H14*$B$10)+$I14)</f>
        <v>0</v>
      </c>
      <c r="N14">
        <f>IF(AND(F14=0,OR($A14=$N12,$E14=$N12)),1,0)</f>
        <v>0</v>
      </c>
      <c r="O14">
        <f>IF(AND(F14=0,OR(AND($A14=$N12,$B14&gt;$D14),AND($E14=$N12,$D14&gt;$B14))),1,0)</f>
        <v>0</v>
      </c>
      <c r="P14">
        <f t="shared" ref="P14:P19" si="16">IF(AND(F14=0,N14=1,$B14=$D14),1,0)</f>
        <v>0</v>
      </c>
      <c r="Q14">
        <f>IF(AND(F14=0,OR(AND($A14=$N12,$B14&lt;$D14),AND($E14=$N12,$D14&lt;$B14))),1,0)</f>
        <v>0</v>
      </c>
      <c r="R14">
        <f>IF(F14&gt;0,0,IF($A14=$N12,$B14,IF($E14=$N12,$D14,0)))</f>
        <v>0</v>
      </c>
      <c r="S14">
        <f>IF(F14&gt;0,0,IF($A14=$N12,$D14,IF($E14=$N12,$B14,0)))</f>
        <v>0</v>
      </c>
      <c r="T14">
        <f t="shared" ref="T14:T19" si="17">(($O14*$B$10)+$P14)</f>
        <v>0</v>
      </c>
      <c r="U14">
        <f>IF(AND(F14=0,OR($A14=$U12,$E14=$U12)),1,0)</f>
        <v>0</v>
      </c>
      <c r="V14">
        <f>IF(AND(F14=0,OR(AND($A14=$U12,$B14&gt;$D14),AND($E14=$U12,$D14&gt;$B14))),1,0)</f>
        <v>0</v>
      </c>
      <c r="W14">
        <f t="shared" ref="W14:W19" si="18">IF(AND(F14=0,U14=1,$B14=$D14),1,0)</f>
        <v>0</v>
      </c>
      <c r="X14">
        <f>IF(AND(F14=0,OR(AND($A14=$U12,$B14&lt;$D14),AND($E14=$U12,$D14&lt;$B14))),1,0)</f>
        <v>0</v>
      </c>
      <c r="Y14">
        <f>IF(F14&gt;0,0,IF($A14=$U12,$B14,IF($E14=$U12,$D14,0)))</f>
        <v>0</v>
      </c>
      <c r="Z14">
        <f>IF(F14&gt;0,0,IF($A14=$U12,$D14,IF($E14=$U12,$B14,0)))</f>
        <v>0</v>
      </c>
      <c r="AA14">
        <f t="shared" ref="AA14:AA19" si="19">(($V14*$B$10)+$W14)</f>
        <v>0</v>
      </c>
      <c r="AB14">
        <f>IF(AND(F14=0,OR($A14=$AB12,$E14=$AB12)),1,0)</f>
        <v>0</v>
      </c>
      <c r="AC14">
        <f>IF(AND(F14=0,OR(AND($A14=$AB12,$B14&gt;$D14),AND($E14=$AB12,$D14&gt;$B14))),1,0)</f>
        <v>0</v>
      </c>
      <c r="AD14">
        <f t="shared" ref="AD14:AD19" si="20">IF(AND(F14=0,AB14=1,$B14=$D14),1,0)</f>
        <v>0</v>
      </c>
      <c r="AE14">
        <f>IF(AND(F14=0,OR(AND($A14=$AB12,$B14&lt;$D14),AND($E14=$AB12,$D14&lt;$B14))),1,0)</f>
        <v>0</v>
      </c>
      <c r="AF14">
        <f>IF(F14&gt;0,0,IF($A14=$AB12,$B14,IF($E14=$AB12,$D14,0)))</f>
        <v>0</v>
      </c>
      <c r="AG14">
        <f>IF(F14&gt;0,0,IF($A14=$AB12,$D14,IF($E14=$AB12,$B14,0)))</f>
        <v>0</v>
      </c>
      <c r="AH14">
        <f t="shared" ref="AH14:AH19" si="21">(($AC14*$B$10)+$AD14)</f>
        <v>0</v>
      </c>
      <c r="AJ14" s="28" t="str">
        <f>G12</f>
        <v>vítěz utkání 2st-2</v>
      </c>
      <c r="AK14" s="28">
        <f t="shared" ref="AK14:AQ14" si="22">G20</f>
        <v>0</v>
      </c>
      <c r="AL14" s="28">
        <f t="shared" si="22"/>
        <v>0</v>
      </c>
      <c r="AM14" s="28">
        <f t="shared" si="22"/>
        <v>0</v>
      </c>
      <c r="AN14" s="28">
        <f t="shared" si="22"/>
        <v>0</v>
      </c>
      <c r="AO14" s="28">
        <f t="shared" si="22"/>
        <v>0</v>
      </c>
      <c r="AP14" s="28">
        <f t="shared" si="22"/>
        <v>0</v>
      </c>
      <c r="AQ14" s="28">
        <f t="shared" si="22"/>
        <v>0</v>
      </c>
      <c r="AS14" s="28" t="str">
        <f>IF($AQ14&gt;=$AQ15,$AJ14,$AJ15)</f>
        <v>vítěz utkání 2st-2</v>
      </c>
      <c r="AT14" s="28">
        <f>VLOOKUP(AS14,$AJ14:$AQ17,8,FALSE)</f>
        <v>0</v>
      </c>
      <c r="AU14" s="28" t="str">
        <f>IF($AT14&gt;=$AT16,$AS14,$AS16)</f>
        <v>vítěz utkání 2st-2</v>
      </c>
      <c r="AV14" s="28">
        <f>VLOOKUP(AU14,$AS14:$AT17,2,FALSE)</f>
        <v>0</v>
      </c>
      <c r="AW14" s="28" t="str">
        <f>IF($AV14&gt;=$AV17,$AU14,$AU17)</f>
        <v>vítěz utkání 2st-2</v>
      </c>
      <c r="AX14" s="28">
        <f>VLOOKUP(AW14,$AU14:$AV17,2,FALSE)</f>
        <v>0</v>
      </c>
      <c r="AY14" s="28">
        <f>VLOOKUP(AW14,$AJ14:$AQ17,6,FALSE)</f>
        <v>0</v>
      </c>
      <c r="AZ14" s="28">
        <f>VLOOKUP(AW14,$AJ14:$AQ17,7,FALSE)</f>
        <v>0</v>
      </c>
      <c r="BA14" s="28">
        <f>AY14-AZ14</f>
        <v>0</v>
      </c>
      <c r="BB14" s="28" t="str">
        <f>IF(AND($AX14=$AX15,$BA15&gt;$BA14),$AW15,$AW14)</f>
        <v>vítěz utkání 2st-2</v>
      </c>
      <c r="BC14" s="28">
        <f>VLOOKUP(BB14,$AW14:$BA17,2,FALSE)</f>
        <v>0</v>
      </c>
      <c r="BD14" s="28">
        <f>VLOOKUP(BB14,$AW14:$BA17,5,FALSE)</f>
        <v>0</v>
      </c>
      <c r="BE14" s="28" t="str">
        <f>IF(AND($BC14=$BC16,$BD16&gt;$BD14),$BB16,$BB14)</f>
        <v>vítěz utkání 2st-2</v>
      </c>
      <c r="BF14" s="28">
        <f>VLOOKUP(BE14,$BB14:$BD17,2,FALSE)</f>
        <v>0</v>
      </c>
      <c r="BG14" s="28">
        <f>VLOOKUP(BE14,$BB14:$BD17,3,FALSE)</f>
        <v>0</v>
      </c>
      <c r="BH14" s="28" t="str">
        <f>IF(AND($BF14=$BF17,$BG17&gt;$BG14),$BE17,$BE14)</f>
        <v>vítěz utkání 2st-2</v>
      </c>
      <c r="BI14" s="28">
        <f>VLOOKUP(BH14,$BE14:$BG17,2,FALSE)</f>
        <v>0</v>
      </c>
      <c r="BJ14" s="28">
        <f>VLOOKUP(BH14,$BE14:$BG17,3,FALSE)</f>
        <v>0</v>
      </c>
      <c r="BK14" s="28">
        <f>VLOOKUP(BH14,$AJ14:$AQ17,6,FALSE)</f>
        <v>0</v>
      </c>
      <c r="BL14" s="28" t="str">
        <f>IF(AND($BI14=$BI15,$BJ14=$BJ15,$BK15&gt;$BK14),$BH15,$BH14)</f>
        <v>vítěz utkání 2st-2</v>
      </c>
      <c r="BM14" s="28">
        <f>VLOOKUP(BL14,$BH14:$BK17,2,FALSE)</f>
        <v>0</v>
      </c>
      <c r="BN14" s="28">
        <f>VLOOKUP(BL14,$BH14:$BK17,3,FALSE)</f>
        <v>0</v>
      </c>
      <c r="BO14" s="28">
        <f>VLOOKUP(BL14,$BH14:$BK17,4,FALSE)</f>
        <v>0</v>
      </c>
      <c r="BP14" s="28" t="str">
        <f>IF(AND($BM14=$BM16,$BN14=$BN16,$BO16&gt;$BO14),$BL16,$BL14)</f>
        <v>vítěz utkání 2st-2</v>
      </c>
      <c r="BQ14" s="28">
        <f>VLOOKUP(BP14,$BL14:$BO17,2,FALSE)</f>
        <v>0</v>
      </c>
      <c r="BR14" s="28">
        <f>VLOOKUP(BP14,$BL14:$BO17,3,FALSE)</f>
        <v>0</v>
      </c>
      <c r="BS14" s="28">
        <f>VLOOKUP(BP14,$BL14:$BO17,4,FALSE)</f>
        <v>0</v>
      </c>
      <c r="BT14" s="28" t="str">
        <f>IF(AND($BQ14=$BQ17,$BR14=$BR17,$BS17&gt;$BS14),$BP17,$BP14)</f>
        <v>vítěz utkání 2st-2</v>
      </c>
      <c r="BU14" s="28">
        <f>VLOOKUP(BT14,$BP14:$BS17,2,FALSE)</f>
        <v>0</v>
      </c>
      <c r="BV14" s="28">
        <f>VLOOKUP(BT14,$BP14:$BS17,3,FALSE)</f>
        <v>0</v>
      </c>
      <c r="BW14" s="28">
        <f>VLOOKUP(BT14,$BP14:$BS17,4,FALSE)</f>
        <v>0</v>
      </c>
      <c r="BX14" s="28" t="str">
        <f>BT14</f>
        <v>vítěz utkání 2st-2</v>
      </c>
      <c r="BY14" s="28">
        <f>VLOOKUP($BX14,$AJ14:$AQ17,2,FALSE)</f>
        <v>0</v>
      </c>
      <c r="BZ14" s="28">
        <f>VLOOKUP($BX14,$AJ14:$AQ17,3,FALSE)</f>
        <v>0</v>
      </c>
      <c r="CA14" s="28">
        <f>VLOOKUP($BX14,$AJ14:$AQ17,4,FALSE)</f>
        <v>0</v>
      </c>
      <c r="CB14" s="28">
        <f>VLOOKUP($BX14,$AJ14:$AQ17,5,FALSE)</f>
        <v>0</v>
      </c>
      <c r="CC14" s="28">
        <f>VLOOKUP($BX14,$AJ14:$AQ17,6,FALSE)</f>
        <v>0</v>
      </c>
      <c r="CD14" s="28">
        <f>VLOOKUP($BX14,$AJ14:$AQ17,7,FALSE)</f>
        <v>0</v>
      </c>
      <c r="CE14" s="28">
        <f>VLOOKUP($BX14,$AJ14:$AQ17,8,FALSE)</f>
        <v>0</v>
      </c>
      <c r="CF14" s="128" t="str">
        <f>CONCATENATE(CC14,":",CD14)</f>
        <v>0:0</v>
      </c>
    </row>
    <row r="15" spans="1:84" x14ac:dyDescent="0.2">
      <c r="A15" s="27" t="str">
        <f>'3-zapasy'!D12</f>
        <v>vítěz utkání 2st-7</v>
      </c>
      <c r="B15" s="27" t="str">
        <f>'3-zapasy'!I12</f>
        <v/>
      </c>
      <c r="C15" s="27" t="e">
        <f>'3-zapasy'!#REF!</f>
        <v>#REF!</v>
      </c>
      <c r="D15" s="27" t="str">
        <f>'3-zapasy'!J12</f>
        <v/>
      </c>
      <c r="E15" s="27" t="str">
        <f>'3-zapasy'!E12</f>
        <v>vítěz utkání 2st-10</v>
      </c>
      <c r="F15" s="28">
        <f>COUNTBLANK('3-zapasy'!I12:'3-zapasy'!J12)</f>
        <v>2</v>
      </c>
      <c r="G15" s="28">
        <f>IF(AND(F15=0,OR($A15=$G12,$E15=$G12)),1,0)</f>
        <v>0</v>
      </c>
      <c r="H15" s="28">
        <f>IF(AND(F15=0,OR(AND($A15=$G12,$B15&gt;$D15),AND($E15=$G12,$D15&gt;$B15))),1,0)</f>
        <v>0</v>
      </c>
      <c r="I15" s="28">
        <f t="shared" si="14"/>
        <v>0</v>
      </c>
      <c r="J15" s="28">
        <f>IF(AND(F15=0,OR(AND($A15=$G12,$B15&lt;$D15),AND($E15=$G12,$D15&lt;$B15))),1,0)</f>
        <v>0</v>
      </c>
      <c r="K15" s="28">
        <f>IF(F15&gt;0,0,IF($A15=$G12,$B15,IF($E15=$G12,$D15,0)))</f>
        <v>0</v>
      </c>
      <c r="L15" s="28">
        <f>IF(F15&gt;0,0,IF($A15=$G12,$D15,IF($E15=$G12,$B15,0)))</f>
        <v>0</v>
      </c>
      <c r="M15">
        <f t="shared" si="15"/>
        <v>0</v>
      </c>
      <c r="N15">
        <f>IF(AND(F15=0,OR($A15=$N12,$E15=$N12)),1,0)</f>
        <v>0</v>
      </c>
      <c r="O15">
        <f>IF(AND(F15=0,OR(AND($A15=$N12,$B15&gt;$D15),AND($E15=$N12,$D15&gt;$B15))),1,0)</f>
        <v>0</v>
      </c>
      <c r="P15">
        <f t="shared" si="16"/>
        <v>0</v>
      </c>
      <c r="Q15">
        <f>IF(AND(F15=0,OR(AND($A15=$N12,$B15&lt;$D15),AND($E15=$N12,$D15&lt;$B15))),1,0)</f>
        <v>0</v>
      </c>
      <c r="R15">
        <f>IF(F15&gt;0,0,IF($A15=$N12,$B15,IF($E15=$N12,$D15,0)))</f>
        <v>0</v>
      </c>
      <c r="S15">
        <f>IF(F15&gt;0,0,IF($A15=$N12,$D15,IF($E15=$N12,$B15,0)))</f>
        <v>0</v>
      </c>
      <c r="T15">
        <f t="shared" si="17"/>
        <v>0</v>
      </c>
      <c r="U15">
        <f>IF(AND(F15=0,OR($A15=$U12,$E15=$U12)),1,0)</f>
        <v>0</v>
      </c>
      <c r="V15">
        <f>IF(AND(F15=0,OR(AND($A15=$U12,$B15&gt;$D15),AND($E15=$U12,$D15&gt;$B15))),1,0)</f>
        <v>0</v>
      </c>
      <c r="W15">
        <f t="shared" si="18"/>
        <v>0</v>
      </c>
      <c r="X15">
        <f>IF(AND(F15=0,OR(AND($A15=$U12,$B15&lt;$D15),AND($E15=$U12,$D15&lt;$B15))),1,0)</f>
        <v>0</v>
      </c>
      <c r="Y15">
        <f>IF(F15&gt;0,0,IF($A15=$U12,$B15,IF($E15=$U12,$D15,0)))</f>
        <v>0</v>
      </c>
      <c r="Z15">
        <f>IF(F15&gt;0,0,IF($A15=$U12,$D15,IF($E15=$U12,$B15,0)))</f>
        <v>0</v>
      </c>
      <c r="AA15">
        <f t="shared" si="19"/>
        <v>0</v>
      </c>
      <c r="AB15">
        <f>IF(AND(F15=0,OR($A15=$AB12,$E15=$AB12)),1,0)</f>
        <v>0</v>
      </c>
      <c r="AC15">
        <f>IF(AND(F15=0,OR(AND($A15=$AB12,$B15&gt;$D15),AND($E15=$AB12,$D15&gt;$B15))),1,0)</f>
        <v>0</v>
      </c>
      <c r="AD15">
        <f t="shared" si="20"/>
        <v>0</v>
      </c>
      <c r="AE15">
        <f>IF(AND(F15=0,OR(AND($A15=$AB12,$B15&lt;$D15),AND($E15=$AB12,$D15&lt;$B15))),1,0)</f>
        <v>0</v>
      </c>
      <c r="AF15">
        <f>IF(F15&gt;0,0,IF($A15=$AB12,$B15,IF($E15=$AB12,$D15,0)))</f>
        <v>0</v>
      </c>
      <c r="AG15">
        <f>IF(F15&gt;0,0,IF($A15=$AB12,$D15,IF($E15=$AB12,$B15,0)))</f>
        <v>0</v>
      </c>
      <c r="AH15">
        <f t="shared" si="21"/>
        <v>0</v>
      </c>
      <c r="AJ15" s="28" t="str">
        <f>N12</f>
        <v>vítěz utkání 2st-15</v>
      </c>
      <c r="AK15" s="28">
        <f t="shared" ref="AK15:AQ15" si="23">N20</f>
        <v>0</v>
      </c>
      <c r="AL15" s="28">
        <f t="shared" si="23"/>
        <v>0</v>
      </c>
      <c r="AM15" s="28">
        <f t="shared" si="23"/>
        <v>0</v>
      </c>
      <c r="AN15" s="28">
        <f t="shared" si="23"/>
        <v>0</v>
      </c>
      <c r="AO15" s="28">
        <f t="shared" si="23"/>
        <v>0</v>
      </c>
      <c r="AP15" s="28">
        <f t="shared" si="23"/>
        <v>0</v>
      </c>
      <c r="AQ15" s="28">
        <f t="shared" si="23"/>
        <v>0</v>
      </c>
      <c r="AS15" s="28" t="str">
        <f>IF($AQ15&lt;=$AQ14,$AJ15,$AJ14)</f>
        <v>vítěz utkání 2st-15</v>
      </c>
      <c r="AT15" s="28">
        <f>VLOOKUP(AS15,$AJ14:$AQ17,8,FALSE)</f>
        <v>0</v>
      </c>
      <c r="AU15" s="28" t="str">
        <f>IF($AT15&gt;=$AT17,$AS15,$AS17)</f>
        <v>vítěz utkání 2st-15</v>
      </c>
      <c r="AV15" s="28">
        <f>VLOOKUP(AU15,$AS14:$AT17,2,FALSE)</f>
        <v>0</v>
      </c>
      <c r="AW15" s="28" t="str">
        <f>IF($AV15&gt;=$AV16,$AU15,$AU16)</f>
        <v>vítěz utkání 2st-15</v>
      </c>
      <c r="AX15" s="28">
        <f>VLOOKUP(AW15,$AU14:$AV17,2,FALSE)</f>
        <v>0</v>
      </c>
      <c r="AY15" s="28">
        <f>VLOOKUP(AW15,$AJ14:$AQ17,6,FALSE)</f>
        <v>0</v>
      </c>
      <c r="AZ15" s="28">
        <f>VLOOKUP(AW15,$AJ14:$AQ17,7,FALSE)</f>
        <v>0</v>
      </c>
      <c r="BA15" s="28">
        <f>AY15-AZ15</f>
        <v>0</v>
      </c>
      <c r="BB15" s="28" t="str">
        <f>IF(AND($AX14=$AX15,$BA15&gt;$BA14),$AW14,$AW15)</f>
        <v>vítěz utkání 2st-15</v>
      </c>
      <c r="BC15" s="28">
        <f>VLOOKUP(BB15,$AW14:$BA17,2,FALSE)</f>
        <v>0</v>
      </c>
      <c r="BD15" s="28">
        <f>VLOOKUP(BB15,$AW14:$BA17,5,FALSE)</f>
        <v>0</v>
      </c>
      <c r="BE15" s="28" t="str">
        <f>IF(AND($BC15=$BC17,$BD17&gt;$BD15),$BB17,$BB15)</f>
        <v>vítěz utkání 2st-15</v>
      </c>
      <c r="BF15" s="28">
        <f>VLOOKUP(BE15,$BB14:$BD17,2,FALSE)</f>
        <v>0</v>
      </c>
      <c r="BG15" s="28">
        <f>VLOOKUP(BE15,$BB14:$BD17,3,FALSE)</f>
        <v>0</v>
      </c>
      <c r="BH15" s="28" t="str">
        <f>IF(AND($BF15=$BF16,$BG16&gt;$BG15),$BE16,$BE15)</f>
        <v>vítěz utkání 2st-15</v>
      </c>
      <c r="BI15" s="28">
        <f>VLOOKUP(BH15,$BE14:$BG17,2,FALSE)</f>
        <v>0</v>
      </c>
      <c r="BJ15" s="28">
        <f>VLOOKUP(BH15,$BE14:$BG17,3,FALSE)</f>
        <v>0</v>
      </c>
      <c r="BK15" s="28">
        <f>VLOOKUP(BH15,$AJ14:$AQ17,6,FALSE)</f>
        <v>0</v>
      </c>
      <c r="BL15" s="28" t="str">
        <f>IF(AND($BI14=$BI15,$BJ14=$BJ15,$BK15&gt;$BK14),$BH14,$BH15)</f>
        <v>vítěz utkání 2st-15</v>
      </c>
      <c r="BM15" s="28">
        <f>VLOOKUP(BL15,$BH14:$BK17,2,FALSE)</f>
        <v>0</v>
      </c>
      <c r="BN15" s="28">
        <f>VLOOKUP(BL15,$BH14:$BK17,3,FALSE)</f>
        <v>0</v>
      </c>
      <c r="BO15" s="28">
        <f>VLOOKUP(BL15,$BH14:$BK17,4,FALSE)</f>
        <v>0</v>
      </c>
      <c r="BP15" s="28" t="str">
        <f>IF(AND($BM15=$BM17,$BN15=$BN17,$BO17&gt;$BO15),$BL17,$BL15)</f>
        <v>vítěz utkání 2st-15</v>
      </c>
      <c r="BQ15" s="28">
        <f>VLOOKUP(BP15,$BL14:$BO17,2,FALSE)</f>
        <v>0</v>
      </c>
      <c r="BR15" s="28">
        <f>VLOOKUP(BP15,$BL14:$BO17,3,FALSE)</f>
        <v>0</v>
      </c>
      <c r="BS15" s="28">
        <f>VLOOKUP(BP15,$BL14:$BO17,4,FALSE)</f>
        <v>0</v>
      </c>
      <c r="BT15" s="28" t="str">
        <f>IF(AND($BQ15=$BQ16,$BR15=$BR16,$BS16&gt;$BS15),$BP16,$BP15)</f>
        <v>vítěz utkání 2st-15</v>
      </c>
      <c r="BU15" s="28">
        <f>VLOOKUP(BT15,$BP14:$BS17,2,FALSE)</f>
        <v>0</v>
      </c>
      <c r="BV15" s="28">
        <f>VLOOKUP(BT15,$BP14:$BS17,3,FALSE)</f>
        <v>0</v>
      </c>
      <c r="BW15" s="28">
        <f>VLOOKUP(BT15,$BP14:$BS17,4,FALSE)</f>
        <v>0</v>
      </c>
      <c r="BX15" s="28" t="str">
        <f>BT15</f>
        <v>vítěz utkání 2st-15</v>
      </c>
      <c r="BY15" s="28">
        <f>VLOOKUP($BX15,$AJ14:$AQ17,2,FALSE)</f>
        <v>0</v>
      </c>
      <c r="BZ15" s="28">
        <f>VLOOKUP($BX15,$AJ14:$AQ17,3,FALSE)</f>
        <v>0</v>
      </c>
      <c r="CA15" s="28">
        <f>VLOOKUP($BX15,$AJ14:$AQ17,4,FALSE)</f>
        <v>0</v>
      </c>
      <c r="CB15" s="28">
        <f>VLOOKUP($BX15,$AJ14:$AQ17,5,FALSE)</f>
        <v>0</v>
      </c>
      <c r="CC15" s="28">
        <f>VLOOKUP($BX15,$AJ14:$AQ17,6,FALSE)</f>
        <v>0</v>
      </c>
      <c r="CD15" s="28">
        <f>VLOOKUP($BX15,$AJ14:$AQ17,7,FALSE)</f>
        <v>0</v>
      </c>
      <c r="CE15" s="28">
        <f>VLOOKUP($BX15,$AJ14:$AQ17,8,FALSE)</f>
        <v>0</v>
      </c>
      <c r="CF15" s="128" t="str">
        <f>CONCATENATE(CC15,":",CD15)</f>
        <v>0:0</v>
      </c>
    </row>
    <row r="16" spans="1:84" x14ac:dyDescent="0.2">
      <c r="A16" s="27" t="str">
        <f>'3-zapasy'!D13</f>
        <v>vítěz utkání 2st-15</v>
      </c>
      <c r="B16" s="27" t="str">
        <f>'3-zapasy'!I13</f>
        <v/>
      </c>
      <c r="C16" s="27" t="e">
        <f>'3-zapasy'!#REF!</f>
        <v>#REF!</v>
      </c>
      <c r="D16" s="27" t="str">
        <f>'3-zapasy'!J13</f>
        <v/>
      </c>
      <c r="E16" s="27" t="str">
        <f>'3-zapasy'!E13</f>
        <v>vítěz utkání 2st-7</v>
      </c>
      <c r="F16" s="28">
        <f>COUNTBLANK('3-zapasy'!I13:'3-zapasy'!J13)</f>
        <v>2</v>
      </c>
      <c r="G16" s="28">
        <f>IF(AND(F16=0,OR($A16=$G12,$E16=$G12)),1,0)</f>
        <v>0</v>
      </c>
      <c r="H16" s="28">
        <f>IF(AND(F16=0,OR(AND($A16=$G12,$B16&gt;$D16),AND($E16=$G12,$D16&gt;$B16))),1,0)</f>
        <v>0</v>
      </c>
      <c r="I16" s="28">
        <f t="shared" si="14"/>
        <v>0</v>
      </c>
      <c r="J16" s="28">
        <f>IF(AND(F16=0,OR(AND($A16=$G12,$B16&lt;$D16),AND($E16=$G12,$D16&lt;$B16))),1,0)</f>
        <v>0</v>
      </c>
      <c r="K16" s="28">
        <f>IF(F16&gt;0,0,IF($A16=$G12,$B16,IF($E16=$G12,$D16,0)))</f>
        <v>0</v>
      </c>
      <c r="L16" s="28">
        <f>IF(F16&gt;0,0,IF($A16=$G12,$D16,IF($E16=$G12,$B16,0)))</f>
        <v>0</v>
      </c>
      <c r="M16">
        <f t="shared" si="15"/>
        <v>0</v>
      </c>
      <c r="N16">
        <f>IF(AND(F16=0,OR($A16=$N12,$E16=$N12)),1,0)</f>
        <v>0</v>
      </c>
      <c r="O16">
        <f>IF(AND(F16=0,OR(AND($A16=$N12,$B16&gt;$D16),AND($E16=$N12,$D16&gt;$B16))),1,0)</f>
        <v>0</v>
      </c>
      <c r="P16">
        <f t="shared" si="16"/>
        <v>0</v>
      </c>
      <c r="Q16">
        <f>IF(AND(F16=0,OR(AND($A16=$N12,$B16&lt;$D16),AND($E16=$N12,$D16&lt;$B16))),1,0)</f>
        <v>0</v>
      </c>
      <c r="R16">
        <f>IF(F16&gt;0,0,IF($A16=$N12,$B16,IF($E16=$N12,$D16,0)))</f>
        <v>0</v>
      </c>
      <c r="S16">
        <f>IF(F16&gt;0,0,IF($A16=$N12,$D16,IF($E16=$N12,$B16,0)))</f>
        <v>0</v>
      </c>
      <c r="T16">
        <f t="shared" si="17"/>
        <v>0</v>
      </c>
      <c r="U16">
        <f>IF(AND(F16=0,OR($A16=$U12,$E16=$U12)),1,0)</f>
        <v>0</v>
      </c>
      <c r="V16">
        <f>IF(AND(F16=0,OR(AND($A16=$U12,$B16&gt;$D16),AND($E16=$U12,$D16&gt;$B16))),1,0)</f>
        <v>0</v>
      </c>
      <c r="W16">
        <f t="shared" si="18"/>
        <v>0</v>
      </c>
      <c r="X16">
        <f>IF(AND(F16=0,OR(AND($A16=$U12,$B16&lt;$D16),AND($E16=$U12,$D16&lt;$B16))),1,0)</f>
        <v>0</v>
      </c>
      <c r="Y16">
        <f>IF(F16&gt;0,0,IF($A16=$U12,$B16,IF($E16=$U12,$D16,0)))</f>
        <v>0</v>
      </c>
      <c r="Z16">
        <f>IF(F16&gt;0,0,IF($A16=$U12,$D16,IF($E16=$U12,$B16,0)))</f>
        <v>0</v>
      </c>
      <c r="AA16">
        <f t="shared" si="19"/>
        <v>0</v>
      </c>
      <c r="AB16">
        <f>IF(AND(F16=0,OR($A16=$AB12,$E16=$AB12)),1,0)</f>
        <v>0</v>
      </c>
      <c r="AC16">
        <f>IF(AND(F16=0,OR(AND($A16=$AB12,$B16&gt;$D16),AND($E16=$AB12,$D16&gt;$B16))),1,0)</f>
        <v>0</v>
      </c>
      <c r="AD16">
        <f t="shared" si="20"/>
        <v>0</v>
      </c>
      <c r="AE16">
        <f>IF(AND(F16=0,OR(AND($A16=$AB12,$B16&lt;$D16),AND($E16=$AB12,$D16&lt;$B16))),1,0)</f>
        <v>0</v>
      </c>
      <c r="AF16">
        <f>IF(F16&gt;0,0,IF($A16=$AB12,$B16,IF($E16=$AB12,$D16,0)))</f>
        <v>0</v>
      </c>
      <c r="AG16">
        <f>IF(F16&gt;0,0,IF($A16=$AB12,$D16,IF($E16=$AB12,$B16,0)))</f>
        <v>0</v>
      </c>
      <c r="AH16">
        <f t="shared" si="21"/>
        <v>0</v>
      </c>
      <c r="AJ16" s="28" t="str">
        <f>U12</f>
        <v>vítěz utkání 2st-7</v>
      </c>
      <c r="AK16" s="28">
        <f t="shared" ref="AK16:AQ16" si="24">U20</f>
        <v>0</v>
      </c>
      <c r="AL16" s="28">
        <f t="shared" si="24"/>
        <v>0</v>
      </c>
      <c r="AM16" s="28">
        <f t="shared" si="24"/>
        <v>0</v>
      </c>
      <c r="AN16" s="28">
        <f t="shared" si="24"/>
        <v>0</v>
      </c>
      <c r="AO16" s="28">
        <f t="shared" si="24"/>
        <v>0</v>
      </c>
      <c r="AP16" s="28">
        <f t="shared" si="24"/>
        <v>0</v>
      </c>
      <c r="AQ16" s="28">
        <f t="shared" si="24"/>
        <v>0</v>
      </c>
      <c r="AS16" s="28" t="str">
        <f>IF($AQ16&gt;=$AQ17,$AJ16,$AJ17)</f>
        <v>vítěz utkání 2st-7</v>
      </c>
      <c r="AT16" s="28">
        <f>VLOOKUP(AS16,$AJ14:$AQ17,8,FALSE)</f>
        <v>0</v>
      </c>
      <c r="AU16" s="28" t="str">
        <f>IF($AT16&lt;=$AT14,$AS16,$AS14)</f>
        <v>vítěz utkání 2st-7</v>
      </c>
      <c r="AV16" s="28">
        <f>VLOOKUP(AU16,$AS14:$AT17,2,FALSE)</f>
        <v>0</v>
      </c>
      <c r="AW16" s="28" t="str">
        <f>IF($AV16&lt;=$AV15,$AU16,$AU15)</f>
        <v>vítěz utkání 2st-7</v>
      </c>
      <c r="AX16" s="28">
        <f>VLOOKUP(AW16,$AU14:$AV17,2,FALSE)</f>
        <v>0</v>
      </c>
      <c r="AY16" s="28">
        <f>VLOOKUP(AW16,$AJ14:$AQ17,6,FALSE)</f>
        <v>0</v>
      </c>
      <c r="AZ16" s="28">
        <f>VLOOKUP(AW16,$AJ14:$AQ17,7,FALSE)</f>
        <v>0</v>
      </c>
      <c r="BA16" s="28">
        <f>AY16-AZ16</f>
        <v>0</v>
      </c>
      <c r="BB16" s="28" t="str">
        <f>IF(AND($AX16=$AX17,$BA17&gt;$BA16),$AW17,$AW16)</f>
        <v>vítěz utkání 2st-7</v>
      </c>
      <c r="BC16" s="28">
        <f>VLOOKUP(BB16,$AW14:$BA17,2,FALSE)</f>
        <v>0</v>
      </c>
      <c r="BD16" s="28">
        <f>VLOOKUP(BB16,$AW14:$BA17,5,FALSE)</f>
        <v>0</v>
      </c>
      <c r="BE16" s="28" t="str">
        <f>IF(AND($BC14=$BC16,$BD16&gt;$BD14),$BB14,$BB16)</f>
        <v>vítěz utkání 2st-7</v>
      </c>
      <c r="BF16" s="28">
        <f>VLOOKUP(BE16,$BB14:$BD17,2,FALSE)</f>
        <v>0</v>
      </c>
      <c r="BG16" s="28">
        <f>VLOOKUP(BE16,$BB14:$BD17,3,FALSE)</f>
        <v>0</v>
      </c>
      <c r="BH16" s="28" t="str">
        <f>IF(AND($BF15=$BF16,$BG16&gt;$BG15),$BE15,$BE16)</f>
        <v>vítěz utkání 2st-7</v>
      </c>
      <c r="BI16" s="28">
        <f>VLOOKUP(BH16,$BE14:$BG17,2,FALSE)</f>
        <v>0</v>
      </c>
      <c r="BJ16" s="28">
        <f>VLOOKUP(BH16,$BE14:$BG17,3,FALSE)</f>
        <v>0</v>
      </c>
      <c r="BK16" s="28">
        <f>VLOOKUP(BH16,$AJ14:$AQ17,6,FALSE)</f>
        <v>0</v>
      </c>
      <c r="BL16" s="28" t="str">
        <f>IF(AND($BI16=$BI17,$BJ16=$BJ17,$BK17&gt;$BK16),$BH17,$BH16)</f>
        <v>vítěz utkání 2st-7</v>
      </c>
      <c r="BM16" s="28">
        <f>VLOOKUP(BL16,$BH14:$BK17,2,FALSE)</f>
        <v>0</v>
      </c>
      <c r="BN16" s="28">
        <f>VLOOKUP(BL16,$BH14:$BK17,3,FALSE)</f>
        <v>0</v>
      </c>
      <c r="BO16" s="28">
        <f>VLOOKUP(BL16,$BH14:$BK17,4,FALSE)</f>
        <v>0</v>
      </c>
      <c r="BP16" s="28" t="str">
        <f>IF(AND($BM14=$BM16,$BN14=$BN16,$BO16&gt;$BO14),$BL14,$BL16)</f>
        <v>vítěz utkání 2st-7</v>
      </c>
      <c r="BQ16" s="28">
        <f>VLOOKUP(BP16,$BL14:$BO17,2,FALSE)</f>
        <v>0</v>
      </c>
      <c r="BR16" s="28">
        <f>VLOOKUP(BP16,$BL14:$BO17,3,FALSE)</f>
        <v>0</v>
      </c>
      <c r="BS16" s="28">
        <f>VLOOKUP(BP16,$BL14:$BO17,4,FALSE)</f>
        <v>0</v>
      </c>
      <c r="BT16" s="28" t="str">
        <f>IF(AND($BQ15=$BQ16,$BR15=$BR16,$BS16&gt;$BS15),$BP15,$BP16)</f>
        <v>vítěz utkání 2st-7</v>
      </c>
      <c r="BU16" s="28">
        <f>VLOOKUP(BT16,$BP14:$BS17,2,FALSE)</f>
        <v>0</v>
      </c>
      <c r="BV16" s="28">
        <f>VLOOKUP(BT16,$BP14:$BS17,3,FALSE)</f>
        <v>0</v>
      </c>
      <c r="BW16" s="28">
        <f>VLOOKUP(BT16,$BP14:$BS17,4,FALSE)</f>
        <v>0</v>
      </c>
      <c r="BX16" s="28" t="str">
        <f>BT16</f>
        <v>vítěz utkání 2st-7</v>
      </c>
      <c r="BY16" s="28">
        <f>VLOOKUP($BX16,$AJ14:$AQ17,2,FALSE)</f>
        <v>0</v>
      </c>
      <c r="BZ16" s="28">
        <f>VLOOKUP($BX16,$AJ14:$AQ17,3,FALSE)</f>
        <v>0</v>
      </c>
      <c r="CA16" s="28">
        <f>VLOOKUP($BX16,$AJ14:$AQ17,4,FALSE)</f>
        <v>0</v>
      </c>
      <c r="CB16" s="28">
        <f>VLOOKUP($BX16,$AJ14:$AQ17,5,FALSE)</f>
        <v>0</v>
      </c>
      <c r="CC16" s="28">
        <f>VLOOKUP($BX16,$AJ14:$AQ17,6,FALSE)</f>
        <v>0</v>
      </c>
      <c r="CD16" s="28">
        <f>VLOOKUP($BX16,$AJ14:$AQ17,7,FALSE)</f>
        <v>0</v>
      </c>
      <c r="CE16" s="28">
        <f>VLOOKUP($BX16,$AJ14:$AQ17,8,FALSE)</f>
        <v>0</v>
      </c>
      <c r="CF16" s="128" t="str">
        <f>CONCATENATE(CC16,":",CD16)</f>
        <v>0:0</v>
      </c>
    </row>
    <row r="17" spans="1:84" x14ac:dyDescent="0.2">
      <c r="A17" s="27" t="str">
        <f>'3-zapasy'!D14</f>
        <v>vítěz utkání 2st-10</v>
      </c>
      <c r="B17" s="27" t="str">
        <f>'3-zapasy'!I14</f>
        <v/>
      </c>
      <c r="C17" s="27" t="e">
        <f>'3-zapasy'!#REF!</f>
        <v>#REF!</v>
      </c>
      <c r="D17" s="27" t="str">
        <f>'3-zapasy'!J14</f>
        <v/>
      </c>
      <c r="E17" s="27" t="str">
        <f>'3-zapasy'!E14</f>
        <v>vítěz utkání 2st-2</v>
      </c>
      <c r="F17" s="28">
        <f>COUNTBLANK('3-zapasy'!I14:'3-zapasy'!J14)</f>
        <v>2</v>
      </c>
      <c r="G17" s="28">
        <f>IF(AND(F17=0,OR($A17=$G12,$E17=$G12)),1,0)</f>
        <v>0</v>
      </c>
      <c r="H17" s="28">
        <f>IF(AND(F17=0,OR(AND($A17=$G12,$B17&gt;$D17),AND($E17=$G12,$D17&gt;$B17))),1,0)</f>
        <v>0</v>
      </c>
      <c r="I17" s="28">
        <f t="shared" si="14"/>
        <v>0</v>
      </c>
      <c r="J17" s="28">
        <f>IF(AND(F17=0,OR(AND($A17=$G12,$B17&lt;$D17),AND($E17=$G12,$D17&lt;$B17))),1,0)</f>
        <v>0</v>
      </c>
      <c r="K17" s="28">
        <f>IF(F17&gt;0,0,IF($A17=$G12,$B17,IF($E17=$G12,$D17,0)))</f>
        <v>0</v>
      </c>
      <c r="L17" s="28">
        <f>IF(F17&gt;0,0,IF($A17=$G12,$D17,IF($E17=$G12,$B17,0)))</f>
        <v>0</v>
      </c>
      <c r="M17">
        <f t="shared" si="15"/>
        <v>0</v>
      </c>
      <c r="N17">
        <f>IF(AND(F17=0,OR($A17=$N12,$E17=$N12)),1,0)</f>
        <v>0</v>
      </c>
      <c r="O17">
        <f>IF(AND(F17=0,OR(AND($A17=$N12,$B17&gt;$D17),AND($E17=$N12,$D17&gt;$B17))),1,0)</f>
        <v>0</v>
      </c>
      <c r="P17">
        <f t="shared" si="16"/>
        <v>0</v>
      </c>
      <c r="Q17">
        <f>IF(AND(F17=0,OR(AND($A17=$N12,$B17&lt;$D17),AND($E17=$N12,$D17&lt;$B17))),1,0)</f>
        <v>0</v>
      </c>
      <c r="R17">
        <f>IF(F17&gt;0,0,IF($A17=$N12,$B17,IF($E17=$N12,$D17,0)))</f>
        <v>0</v>
      </c>
      <c r="S17">
        <f>IF(F17&gt;0,0,IF($A17=$N12,$D17,IF($E17=$N12,$B17,0)))</f>
        <v>0</v>
      </c>
      <c r="T17">
        <f t="shared" si="17"/>
        <v>0</v>
      </c>
      <c r="U17">
        <f>IF(AND(F17=0,OR($A17=$U12,$E17=$U12)),1,0)</f>
        <v>0</v>
      </c>
      <c r="V17">
        <f>IF(AND(F17=0,OR(AND($A17=$U12,$B17&gt;$D17),AND($E17=$U12,$D17&gt;$B17))),1,0)</f>
        <v>0</v>
      </c>
      <c r="W17">
        <f t="shared" si="18"/>
        <v>0</v>
      </c>
      <c r="X17">
        <f>IF(AND(F17=0,OR(AND($A17=$U12,$B17&lt;$D17),AND($E17=$U12,$D17&lt;$B17))),1,0)</f>
        <v>0</v>
      </c>
      <c r="Y17">
        <f>IF(F17&gt;0,0,IF($A17=$U12,$B17,IF($E17=$U12,$D17,0)))</f>
        <v>0</v>
      </c>
      <c r="Z17">
        <f>IF(F17&gt;0,0,IF($A17=$U12,$D17,IF($E17=$U12,$B17,0)))</f>
        <v>0</v>
      </c>
      <c r="AA17">
        <f t="shared" si="19"/>
        <v>0</v>
      </c>
      <c r="AB17">
        <f>IF(AND(F17=0,OR($A17=$AB12,$E17=$AB12)),1,0)</f>
        <v>0</v>
      </c>
      <c r="AC17">
        <f>IF(AND(F17=0,OR(AND($A17=$AB12,$B17&gt;$D17),AND($E17=$AB12,$D17&gt;$B17))),1,0)</f>
        <v>0</v>
      </c>
      <c r="AD17">
        <f t="shared" si="20"/>
        <v>0</v>
      </c>
      <c r="AE17">
        <f>IF(AND(F17=0,OR(AND($A17=$AB12,$B17&lt;$D17),AND($E17=$AB12,$D17&lt;$B17))),1,0)</f>
        <v>0</v>
      </c>
      <c r="AF17">
        <f>IF(F17&gt;0,0,IF($A17=$AB12,$B17,IF($E17=$AB12,$D17,0)))</f>
        <v>0</v>
      </c>
      <c r="AG17">
        <f>IF(F17&gt;0,0,IF($A17=$AB12,$D17,IF($E17=$AB12,$B17,0)))</f>
        <v>0</v>
      </c>
      <c r="AH17">
        <f t="shared" si="21"/>
        <v>0</v>
      </c>
      <c r="AJ17" s="28" t="str">
        <f>AB12</f>
        <v>vítěz utkání 2st-10</v>
      </c>
      <c r="AK17" s="28">
        <f t="shared" ref="AK17:AQ17" si="25">AB20</f>
        <v>0</v>
      </c>
      <c r="AL17" s="28">
        <f t="shared" si="25"/>
        <v>0</v>
      </c>
      <c r="AM17" s="28">
        <f t="shared" si="25"/>
        <v>0</v>
      </c>
      <c r="AN17" s="28">
        <f t="shared" si="25"/>
        <v>0</v>
      </c>
      <c r="AO17" s="28">
        <f t="shared" si="25"/>
        <v>0</v>
      </c>
      <c r="AP17" s="28">
        <f t="shared" si="25"/>
        <v>0</v>
      </c>
      <c r="AQ17" s="28">
        <f t="shared" si="25"/>
        <v>0</v>
      </c>
      <c r="AS17" s="28" t="str">
        <f>IF($AQ17&lt;=$AQ16,$AJ17,$AJ16)</f>
        <v>vítěz utkání 2st-10</v>
      </c>
      <c r="AT17" s="28">
        <f>VLOOKUP(AS17,$AJ14:$AQ17,8,FALSE)</f>
        <v>0</v>
      </c>
      <c r="AU17" s="28" t="str">
        <f>IF($AT17&lt;=$AT15,$AS17,$AS15)</f>
        <v>vítěz utkání 2st-10</v>
      </c>
      <c r="AV17" s="28">
        <f>VLOOKUP(AU17,$AS14:$AT17,2,FALSE)</f>
        <v>0</v>
      </c>
      <c r="AW17" s="28" t="str">
        <f>IF($AV17&lt;=$AV14,$AU17,$AU14)</f>
        <v>vítěz utkání 2st-10</v>
      </c>
      <c r="AX17" s="28">
        <f>VLOOKUP(AW17,$AU14:$AV17,2,FALSE)</f>
        <v>0</v>
      </c>
      <c r="AY17" s="28">
        <f>VLOOKUP(AW17,$AJ14:$AQ17,6,FALSE)</f>
        <v>0</v>
      </c>
      <c r="AZ17" s="28">
        <f>VLOOKUP(AW17,$AJ14:$AQ17,7,FALSE)</f>
        <v>0</v>
      </c>
      <c r="BA17" s="28">
        <f>AY17-AZ17</f>
        <v>0</v>
      </c>
      <c r="BB17" s="28" t="str">
        <f>IF(AND($AX16=$AX17,$BA17&gt;$BA16),$AW16,$AW17)</f>
        <v>vítěz utkání 2st-10</v>
      </c>
      <c r="BC17" s="28">
        <f>VLOOKUP(BB17,$AW14:$BA17,2,FALSE)</f>
        <v>0</v>
      </c>
      <c r="BD17" s="28">
        <f>VLOOKUP(BB17,$AW14:$BA17,5,FALSE)</f>
        <v>0</v>
      </c>
      <c r="BE17" s="28" t="str">
        <f>IF(AND($BC15=$BC17,$BD17&gt;$BD15),$BB15,$BB17)</f>
        <v>vítěz utkání 2st-10</v>
      </c>
      <c r="BF17" s="28">
        <f>VLOOKUP(BE17,$BB14:$BD17,2,FALSE)</f>
        <v>0</v>
      </c>
      <c r="BG17" s="28">
        <f>VLOOKUP(BE17,$BB14:$BD17,3,FALSE)</f>
        <v>0</v>
      </c>
      <c r="BH17" s="28" t="str">
        <f>IF(AND($BF14=$BF17,$BG17&gt;$BG14),$BE14,$BE17)</f>
        <v>vítěz utkání 2st-10</v>
      </c>
      <c r="BI17" s="28">
        <f>VLOOKUP(BH17,$BE14:$BG17,2,FALSE)</f>
        <v>0</v>
      </c>
      <c r="BJ17" s="28">
        <f>VLOOKUP(BH17,$BE14:$BG17,3,FALSE)</f>
        <v>0</v>
      </c>
      <c r="BK17" s="28">
        <f>VLOOKUP(BH17,$AJ14:$AQ17,6,FALSE)</f>
        <v>0</v>
      </c>
      <c r="BL17" s="28" t="str">
        <f>IF(AND($BI16=$BI17,$BJ16=$BJ17,$BK17&gt;$BK16),$BH16,$BH17)</f>
        <v>vítěz utkání 2st-10</v>
      </c>
      <c r="BM17" s="28">
        <f>VLOOKUP(BL17,$BH14:$BK17,2,FALSE)</f>
        <v>0</v>
      </c>
      <c r="BN17" s="28">
        <f>VLOOKUP(BL17,$BH14:$BK17,3,FALSE)</f>
        <v>0</v>
      </c>
      <c r="BO17" s="28">
        <f>VLOOKUP(BL17,$BH14:$BK17,4,FALSE)</f>
        <v>0</v>
      </c>
      <c r="BP17" s="28" t="str">
        <f>IF(AND($BM15=$BM17,$BN15=$BN17,$BO17&gt;$BO15),$BL15,$BL17)</f>
        <v>vítěz utkání 2st-10</v>
      </c>
      <c r="BQ17" s="28">
        <f>VLOOKUP(BP17,$BL14:$BO17,2,FALSE)</f>
        <v>0</v>
      </c>
      <c r="BR17" s="28">
        <f>VLOOKUP(BP17,$BL14:$BO17,3,FALSE)</f>
        <v>0</v>
      </c>
      <c r="BS17" s="28">
        <f>VLOOKUP(BP17,$BL14:$BO17,4,FALSE)</f>
        <v>0</v>
      </c>
      <c r="BT17" s="28" t="str">
        <f>IF(AND($BQ14=$BQ17,$BR14=$BR17,$BS17&gt;$BS14),$BP14,$BP17)</f>
        <v>vítěz utkání 2st-10</v>
      </c>
      <c r="BU17" s="28">
        <f>VLOOKUP(BT17,$BP14:$BS17,2,FALSE)</f>
        <v>0</v>
      </c>
      <c r="BV17" s="28">
        <f>VLOOKUP(BT17,$BP14:$BS17,3,FALSE)</f>
        <v>0</v>
      </c>
      <c r="BW17" s="28">
        <f>VLOOKUP(BT17,$BP14:$BS17,4,FALSE)</f>
        <v>0</v>
      </c>
      <c r="BX17" s="28" t="str">
        <f>BT17</f>
        <v>vítěz utkání 2st-10</v>
      </c>
      <c r="BY17" s="28">
        <f>VLOOKUP($BX17,$AJ14:$AQ17,2,FALSE)</f>
        <v>0</v>
      </c>
      <c r="BZ17" s="28">
        <f>VLOOKUP($BX17,$AJ14:$AQ17,3,FALSE)</f>
        <v>0</v>
      </c>
      <c r="CA17" s="28">
        <f>VLOOKUP($BX17,$AJ14:$AQ17,4,FALSE)</f>
        <v>0</v>
      </c>
      <c r="CB17" s="28">
        <f>VLOOKUP($BX17,$AJ14:$AQ17,5,FALSE)</f>
        <v>0</v>
      </c>
      <c r="CC17" s="28">
        <f>VLOOKUP($BX17,$AJ14:$AQ17,6,FALSE)</f>
        <v>0</v>
      </c>
      <c r="CD17" s="28">
        <f>VLOOKUP($BX17,$AJ14:$AQ17,7,FALSE)</f>
        <v>0</v>
      </c>
      <c r="CE17" s="28">
        <f>VLOOKUP($BX17,$AJ14:$AQ17,8,FALSE)</f>
        <v>0</v>
      </c>
      <c r="CF17" s="128" t="str">
        <f>CONCATENATE(CC17,":",CD17)</f>
        <v>0:0</v>
      </c>
    </row>
    <row r="18" spans="1:84" x14ac:dyDescent="0.2">
      <c r="A18" s="27" t="str">
        <f>'3-zapasy'!D15</f>
        <v>vítěz utkání 2st-10</v>
      </c>
      <c r="B18" s="27" t="str">
        <f>'3-zapasy'!I15</f>
        <v/>
      </c>
      <c r="C18" s="27" t="e">
        <f>'3-zapasy'!#REF!</f>
        <v>#REF!</v>
      </c>
      <c r="D18" s="27" t="str">
        <f>'3-zapasy'!J15</f>
        <v/>
      </c>
      <c r="E18" s="27" t="str">
        <f>'3-zapasy'!E15</f>
        <v>vítěz utkání 2st-15</v>
      </c>
      <c r="F18" s="28">
        <f>COUNTBLANK('3-zapasy'!I15:'3-zapasy'!J15)</f>
        <v>2</v>
      </c>
      <c r="G18" s="28">
        <f>IF(AND(F18=0,OR($A18=$G12,$E18=$G12)),1,0)</f>
        <v>0</v>
      </c>
      <c r="H18" s="28">
        <f>IF(AND(F18=0,OR(AND($A18=$G12,$B18&gt;$D18),AND($E18=$G12,$D18&gt;$B18))),1,0)</f>
        <v>0</v>
      </c>
      <c r="I18" s="28">
        <f t="shared" si="14"/>
        <v>0</v>
      </c>
      <c r="J18" s="28">
        <f>IF(AND(F18=0,OR(AND($A18=$G12,$B18&lt;$D18),AND($E18=$G12,$D18&lt;$B18))),1,0)</f>
        <v>0</v>
      </c>
      <c r="K18" s="28">
        <f>IF(F18&gt;0,0,IF($A18=$G12,$B18,IF($E18=$G12,$D18,0)))</f>
        <v>0</v>
      </c>
      <c r="L18" s="28">
        <f>IF(F18&gt;0,0,IF($A18=$G12,$D18,IF($E18=$G12,$B18,0)))</f>
        <v>0</v>
      </c>
      <c r="M18">
        <f t="shared" si="15"/>
        <v>0</v>
      </c>
      <c r="N18">
        <f>IF(AND(F18=0,OR($A18=$N12,$E18=$N12)),1,0)</f>
        <v>0</v>
      </c>
      <c r="O18">
        <f>IF(AND(F18=0,OR(AND($A18=$N12,$B18&gt;$D18),AND($E18=$N12,$D18&gt;$B18))),1,0)</f>
        <v>0</v>
      </c>
      <c r="P18">
        <f t="shared" si="16"/>
        <v>0</v>
      </c>
      <c r="Q18">
        <f>IF(AND(F18=0,OR(AND($A18=$N12,$B18&lt;$D18),AND($E18=$N12,$D18&lt;$B18))),1,0)</f>
        <v>0</v>
      </c>
      <c r="R18">
        <f>IF(F18&gt;0,0,IF($A18=$N12,$B18,IF($E18=$N12,$D18,0)))</f>
        <v>0</v>
      </c>
      <c r="S18">
        <f>IF(F18&gt;0,0,IF($A18=$N12,$D18,IF($E18=$N12,$B18,0)))</f>
        <v>0</v>
      </c>
      <c r="T18">
        <f t="shared" si="17"/>
        <v>0</v>
      </c>
      <c r="U18">
        <f>IF(AND(F18=0,OR($A18=$U12,$E18=$U12)),1,0)</f>
        <v>0</v>
      </c>
      <c r="V18">
        <f>IF(AND(F18=0,OR(AND($A18=$U12,$B18&gt;$D18),AND($E18=$U12,$D18&gt;$B18))),1,0)</f>
        <v>0</v>
      </c>
      <c r="W18">
        <f t="shared" si="18"/>
        <v>0</v>
      </c>
      <c r="X18">
        <f>IF(AND(F18=0,OR(AND($A18=$U12,$B18&lt;$D18),AND($E18=$U12,$D18&lt;$B18))),1,0)</f>
        <v>0</v>
      </c>
      <c r="Y18">
        <f>IF(F18&gt;0,0,IF($A18=$U12,$B18,IF($E18=$U12,$D18,0)))</f>
        <v>0</v>
      </c>
      <c r="Z18">
        <f>IF(F18&gt;0,0,IF($A18=$U12,$D18,IF($E18=$U12,$B18,0)))</f>
        <v>0</v>
      </c>
      <c r="AA18">
        <f t="shared" si="19"/>
        <v>0</v>
      </c>
      <c r="AB18">
        <f>IF(AND(F18=0,OR($A18=$AB12,$E18=$AB12)),1,0)</f>
        <v>0</v>
      </c>
      <c r="AC18">
        <f>IF(AND(F18=0,OR(AND($A18=$AB12,$B18&gt;$D18),AND($E18=$AB12,$D18&gt;$B18))),1,0)</f>
        <v>0</v>
      </c>
      <c r="AD18">
        <f t="shared" si="20"/>
        <v>0</v>
      </c>
      <c r="AE18">
        <f>IF(AND(F18=0,OR(AND($A18=$AB12,$B18&lt;$D18),AND($E18=$AB12,$D18&lt;$B18))),1,0)</f>
        <v>0</v>
      </c>
      <c r="AF18">
        <f>IF(F18&gt;0,0,IF($A18=$AB12,$B18,IF($E18=$AB12,$D18,0)))</f>
        <v>0</v>
      </c>
      <c r="AG18">
        <f>IF(F18&gt;0,0,IF($A18=$AB12,$D18,IF($E18=$AB12,$B18,0)))</f>
        <v>0</v>
      </c>
      <c r="AH18">
        <f t="shared" si="21"/>
        <v>0</v>
      </c>
    </row>
    <row r="19" spans="1:84" x14ac:dyDescent="0.2">
      <c r="A19" s="27" t="str">
        <f>'3-zapasy'!D16</f>
        <v>vítěz utkání 2st-2</v>
      </c>
      <c r="B19" s="27" t="str">
        <f>'3-zapasy'!I16</f>
        <v/>
      </c>
      <c r="C19" s="27" t="e">
        <f>'3-zapasy'!#REF!</f>
        <v>#REF!</v>
      </c>
      <c r="D19" s="27" t="str">
        <f>'3-zapasy'!J16</f>
        <v/>
      </c>
      <c r="E19" s="27" t="str">
        <f>'3-zapasy'!E16</f>
        <v>vítěz utkání 2st-7</v>
      </c>
      <c r="F19" s="28">
        <f>COUNTBLANK('3-zapasy'!I16:'3-zapasy'!J16)</f>
        <v>2</v>
      </c>
      <c r="G19" s="28">
        <f>IF(AND(F19=0,OR($A19=$G12,$E19=$G12)),1,0)</f>
        <v>0</v>
      </c>
      <c r="H19" s="28">
        <f>IF(AND(F19=0,OR(AND($A19=$G12,$B19&gt;$D19),AND($E19=$G12,$D19&gt;$B19))),1,0)</f>
        <v>0</v>
      </c>
      <c r="I19" s="28">
        <f t="shared" si="14"/>
        <v>0</v>
      </c>
      <c r="J19" s="28">
        <f>IF(AND(F19=0,OR(AND($A19=$G12,$B19&lt;$D19),AND($E19=$G12,$D19&lt;$B19))),1,0)</f>
        <v>0</v>
      </c>
      <c r="K19" s="28">
        <f>IF(F19&gt;0,0,IF($A19=$G12,$B19,IF($E19=$G12,$D19,0)))</f>
        <v>0</v>
      </c>
      <c r="L19" s="28">
        <f>IF(F19&gt;0,0,IF($A19=$G12,$D19,IF($E19=$G12,$B19,0)))</f>
        <v>0</v>
      </c>
      <c r="M19">
        <f t="shared" si="15"/>
        <v>0</v>
      </c>
      <c r="N19">
        <f>IF(AND(F19=0,OR($A19=$N12,$E19=$N12)),1,0)</f>
        <v>0</v>
      </c>
      <c r="O19">
        <f>IF(AND(F19=0,OR(AND($A19=$N12,$B19&gt;$D19),AND($E19=$N12,$D19&gt;$B19))),1,0)</f>
        <v>0</v>
      </c>
      <c r="P19">
        <f t="shared" si="16"/>
        <v>0</v>
      </c>
      <c r="Q19">
        <f>IF(AND(F19=0,OR(AND($A19=$N12,$B19&lt;$D19),AND($E19=$N12,$D19&lt;$B19))),1,0)</f>
        <v>0</v>
      </c>
      <c r="R19">
        <f>IF(F19&gt;0,0,IF($A19=$N12,$B19,IF($E19=$N12,$D19,0)))</f>
        <v>0</v>
      </c>
      <c r="S19">
        <f>IF(F19&gt;0,0,IF($A19=$N12,$D19,IF($E19=$N12,$B19,0)))</f>
        <v>0</v>
      </c>
      <c r="T19">
        <f t="shared" si="17"/>
        <v>0</v>
      </c>
      <c r="U19">
        <f>IF(AND(F19=0,OR($A19=$U12,$E19=$U12)),1,0)</f>
        <v>0</v>
      </c>
      <c r="V19">
        <f>IF(AND(F19=0,OR(AND($A19=$U12,$B19&gt;$D19),AND($E19=$U12,$D19&gt;$B19))),1,0)</f>
        <v>0</v>
      </c>
      <c r="W19">
        <f t="shared" si="18"/>
        <v>0</v>
      </c>
      <c r="X19">
        <f>IF(AND(F19=0,OR(AND($A19=$U12,$B19&lt;$D19),AND($E19=$U12,$D19&lt;$B19))),1,0)</f>
        <v>0</v>
      </c>
      <c r="Y19">
        <f>IF(F19&gt;0,0,IF($A19=$U12,$B19,IF($E19=$U12,$D19,0)))</f>
        <v>0</v>
      </c>
      <c r="Z19">
        <f>IF(F19&gt;0,0,IF($A19=$U12,$D19,IF($E19=$U12,$B19,0)))</f>
        <v>0</v>
      </c>
      <c r="AA19">
        <f t="shared" si="19"/>
        <v>0</v>
      </c>
      <c r="AB19">
        <f>IF(AND(F19=0,OR($A19=$AB12,$E19=$AB12)),1,0)</f>
        <v>0</v>
      </c>
      <c r="AC19">
        <f>IF(AND(F19=0,OR(AND($A19=$AB12,$B19&gt;$D19),AND($E19=$AB12,$D19&gt;$B19))),1,0)</f>
        <v>0</v>
      </c>
      <c r="AD19">
        <f t="shared" si="20"/>
        <v>0</v>
      </c>
      <c r="AE19">
        <f>IF(AND(F19=0,OR(AND($A19=$AB12,$B19&lt;$D19),AND($E19=$AB12,$D19&lt;$B19))),1,0)</f>
        <v>0</v>
      </c>
      <c r="AF19">
        <f>IF(F19&gt;0,0,IF($A19=$AB12,$B19,IF($E19=$AB12,$D19,0)))</f>
        <v>0</v>
      </c>
      <c r="AG19">
        <f>IF(F19&gt;0,0,IF($A19=$AB12,$D19,IF($E19=$AB12,$B19,0)))</f>
        <v>0</v>
      </c>
      <c r="AH19">
        <f t="shared" si="21"/>
        <v>0</v>
      </c>
    </row>
    <row r="20" spans="1:84" x14ac:dyDescent="0.2">
      <c r="G20" s="28">
        <f t="shared" ref="G20:L20" si="26">SUM(G14:G19)</f>
        <v>0</v>
      </c>
      <c r="H20" s="28">
        <f t="shared" si="26"/>
        <v>0</v>
      </c>
      <c r="I20" s="28">
        <f t="shared" si="26"/>
        <v>0</v>
      </c>
      <c r="J20" s="28">
        <f t="shared" si="26"/>
        <v>0</v>
      </c>
      <c r="K20" s="28">
        <f t="shared" si="26"/>
        <v>0</v>
      </c>
      <c r="L20" s="28">
        <f t="shared" si="26"/>
        <v>0</v>
      </c>
      <c r="M20">
        <f t="shared" ref="M20:AH20" si="27">SUM(M14:M19)</f>
        <v>0</v>
      </c>
      <c r="N20">
        <f t="shared" si="27"/>
        <v>0</v>
      </c>
      <c r="O20">
        <f t="shared" si="27"/>
        <v>0</v>
      </c>
      <c r="P20">
        <f t="shared" si="27"/>
        <v>0</v>
      </c>
      <c r="Q20">
        <f t="shared" si="27"/>
        <v>0</v>
      </c>
      <c r="R20">
        <f t="shared" si="27"/>
        <v>0</v>
      </c>
      <c r="S20">
        <f t="shared" si="27"/>
        <v>0</v>
      </c>
      <c r="T20">
        <f t="shared" si="27"/>
        <v>0</v>
      </c>
      <c r="U20">
        <f t="shared" si="27"/>
        <v>0</v>
      </c>
      <c r="V20">
        <f t="shared" si="27"/>
        <v>0</v>
      </c>
      <c r="W20">
        <f t="shared" si="27"/>
        <v>0</v>
      </c>
      <c r="X20">
        <f t="shared" si="27"/>
        <v>0</v>
      </c>
      <c r="Y20">
        <f t="shared" si="27"/>
        <v>0</v>
      </c>
      <c r="Z20">
        <f t="shared" si="27"/>
        <v>0</v>
      </c>
      <c r="AA20">
        <f t="shared" si="27"/>
        <v>0</v>
      </c>
      <c r="AB20">
        <f t="shared" si="27"/>
        <v>0</v>
      </c>
      <c r="AC20">
        <f t="shared" si="27"/>
        <v>0</v>
      </c>
      <c r="AD20">
        <f t="shared" si="27"/>
        <v>0</v>
      </c>
      <c r="AE20">
        <f t="shared" si="27"/>
        <v>0</v>
      </c>
      <c r="AF20">
        <f t="shared" si="27"/>
        <v>0</v>
      </c>
      <c r="AG20">
        <f t="shared" si="27"/>
        <v>0</v>
      </c>
      <c r="AH20">
        <f t="shared" si="27"/>
        <v>0</v>
      </c>
    </row>
    <row r="22" spans="1:84" x14ac:dyDescent="0.2">
      <c r="A22" s="463" t="str">
        <f>'3-zapasy'!A17:D17</f>
        <v>skupina 3C</v>
      </c>
      <c r="B22" s="464"/>
      <c r="C22" s="464"/>
      <c r="D22" s="464"/>
      <c r="E22" s="464"/>
      <c r="F22" s="28" t="s">
        <v>67</v>
      </c>
      <c r="G22" s="465" t="str">
        <f>A24</f>
        <v>vítěz utkání 2st-3</v>
      </c>
      <c r="H22" s="465"/>
      <c r="I22" s="465"/>
      <c r="J22" s="465"/>
      <c r="K22" s="465"/>
      <c r="L22" s="465"/>
      <c r="M22" s="465"/>
      <c r="N22" s="465" t="str">
        <f>E24</f>
        <v>vítěz utkání 2st-14</v>
      </c>
      <c r="O22" s="465"/>
      <c r="P22" s="465"/>
      <c r="Q22" s="465"/>
      <c r="R22" s="465"/>
      <c r="S22" s="465"/>
      <c r="T22" s="465"/>
      <c r="U22" s="465" t="str">
        <f>A25</f>
        <v>vítěz utkání 2st-6</v>
      </c>
      <c r="V22" s="465"/>
      <c r="W22" s="465"/>
      <c r="X22" s="465"/>
      <c r="Y22" s="465"/>
      <c r="Z22" s="465"/>
      <c r="AA22" s="465"/>
      <c r="AB22" s="465" t="str">
        <f>E25</f>
        <v>vítěz utkání 2st-11</v>
      </c>
      <c r="AC22" s="465"/>
      <c r="AD22" s="465"/>
      <c r="AE22" s="465"/>
      <c r="AF22" s="465"/>
      <c r="AG22" s="465"/>
      <c r="AH22" s="465"/>
      <c r="AJ22" s="465" t="s">
        <v>68</v>
      </c>
      <c r="AK22" s="465"/>
      <c r="AL22" s="465"/>
      <c r="AM22" s="465"/>
      <c r="AN22" s="465"/>
      <c r="AO22" s="465"/>
      <c r="AP22" s="465"/>
      <c r="AQ22" s="465"/>
      <c r="BX22" s="28" t="s">
        <v>69</v>
      </c>
    </row>
    <row r="23" spans="1:84" x14ac:dyDescent="0.2">
      <c r="A23" s="464"/>
      <c r="B23" s="464"/>
      <c r="C23" s="464"/>
      <c r="D23" s="464"/>
      <c r="E23" s="464"/>
      <c r="F23" s="28" t="s">
        <v>70</v>
      </c>
      <c r="G23" s="28" t="s">
        <v>71</v>
      </c>
      <c r="H23" s="28" t="s">
        <v>72</v>
      </c>
      <c r="I23" s="28" t="s">
        <v>73</v>
      </c>
      <c r="J23" s="28" t="s">
        <v>74</v>
      </c>
      <c r="K23" s="28" t="s">
        <v>75</v>
      </c>
      <c r="L23" s="28" t="s">
        <v>76</v>
      </c>
      <c r="M23" s="28" t="s">
        <v>77</v>
      </c>
      <c r="N23" s="28" t="s">
        <v>71</v>
      </c>
      <c r="O23" s="28" t="s">
        <v>72</v>
      </c>
      <c r="P23" s="28" t="s">
        <v>73</v>
      </c>
      <c r="Q23" s="28" t="s">
        <v>74</v>
      </c>
      <c r="R23" s="28" t="s">
        <v>75</v>
      </c>
      <c r="S23" s="28" t="s">
        <v>76</v>
      </c>
      <c r="T23" s="28" t="s">
        <v>77</v>
      </c>
      <c r="U23" s="28" t="s">
        <v>71</v>
      </c>
      <c r="V23" s="28" t="s">
        <v>72</v>
      </c>
      <c r="W23" s="28" t="s">
        <v>73</v>
      </c>
      <c r="X23" s="28" t="s">
        <v>74</v>
      </c>
      <c r="Y23" s="28" t="s">
        <v>75</v>
      </c>
      <c r="Z23" s="28" t="s">
        <v>76</v>
      </c>
      <c r="AA23" s="28" t="s">
        <v>77</v>
      </c>
      <c r="AB23" s="28" t="s">
        <v>71</v>
      </c>
      <c r="AC23" s="28" t="s">
        <v>72</v>
      </c>
      <c r="AD23" s="28" t="s">
        <v>73</v>
      </c>
      <c r="AE23" s="28" t="s">
        <v>74</v>
      </c>
      <c r="AF23" s="28" t="s">
        <v>75</v>
      </c>
      <c r="AG23" s="28" t="s">
        <v>76</v>
      </c>
      <c r="AH23" s="28" t="s">
        <v>77</v>
      </c>
      <c r="AK23" s="28" t="s">
        <v>71</v>
      </c>
      <c r="AL23" s="28" t="s">
        <v>72</v>
      </c>
      <c r="AM23" s="28" t="s">
        <v>73</v>
      </c>
      <c r="AN23" s="28" t="s">
        <v>74</v>
      </c>
      <c r="AO23" s="28" t="s">
        <v>75</v>
      </c>
      <c r="AP23" s="28" t="s">
        <v>76</v>
      </c>
      <c r="AQ23" s="28" t="s">
        <v>77</v>
      </c>
      <c r="AS23" s="28" t="s">
        <v>78</v>
      </c>
      <c r="AU23" s="28" t="s">
        <v>79</v>
      </c>
      <c r="AW23" s="28" t="s">
        <v>80</v>
      </c>
      <c r="AY23" s="28" t="s">
        <v>81</v>
      </c>
      <c r="BB23" s="28" t="s">
        <v>82</v>
      </c>
      <c r="BE23" s="28" t="s">
        <v>83</v>
      </c>
      <c r="BH23" s="28" t="s">
        <v>84</v>
      </c>
      <c r="BK23" s="28" t="s">
        <v>85</v>
      </c>
      <c r="BL23" s="28" t="s">
        <v>86</v>
      </c>
      <c r="BP23" s="28" t="s">
        <v>87</v>
      </c>
      <c r="BT23" s="28" t="s">
        <v>88</v>
      </c>
      <c r="BY23" s="28" t="s">
        <v>65</v>
      </c>
      <c r="BZ23" s="28" t="s">
        <v>89</v>
      </c>
      <c r="CA23" s="28" t="s">
        <v>58</v>
      </c>
      <c r="CB23" s="28" t="s">
        <v>90</v>
      </c>
      <c r="CC23" s="28" t="s">
        <v>51</v>
      </c>
      <c r="CD23" s="28" t="s">
        <v>53</v>
      </c>
      <c r="CE23" s="28" t="s">
        <v>91</v>
      </c>
    </row>
    <row r="24" spans="1:84" x14ac:dyDescent="0.2">
      <c r="A24" s="27" t="str">
        <f>'3-zapasy'!D19</f>
        <v>vítěz utkání 2st-3</v>
      </c>
      <c r="B24" s="27" t="str">
        <f>'3-zapasy'!I19</f>
        <v/>
      </c>
      <c r="C24" s="27" t="e">
        <f>'3-zapasy'!#REF!</f>
        <v>#REF!</v>
      </c>
      <c r="D24" s="27" t="str">
        <f>'3-zapasy'!J19</f>
        <v/>
      </c>
      <c r="E24" s="27" t="str">
        <f>'3-zapasy'!E19</f>
        <v>vítěz utkání 2st-14</v>
      </c>
      <c r="F24" s="28">
        <f>COUNTBLANK('3-zapasy'!I19:'3-zapasy'!J19)</f>
        <v>2</v>
      </c>
      <c r="G24" s="28">
        <f>IF(AND(F24=0,OR($A24=$G22,$E24=$G22)),1,0)</f>
        <v>0</v>
      </c>
      <c r="H24" s="28">
        <f>IF(AND(F24=0,OR(AND($A24=$G22,$B24&gt;$D24),AND($E24=$G22,$D24&gt;$B24))),1,0)</f>
        <v>0</v>
      </c>
      <c r="I24" s="28">
        <f t="shared" ref="I24:I29" si="28">IF(AND(F24=0,G24=1,$B24=$D24),1,0)</f>
        <v>0</v>
      </c>
      <c r="J24" s="28">
        <f>IF(AND(F24=0,OR(AND($A24=$G22,$B24&lt;$D24),AND($E24=$G22,$D24&lt;$B24))),1,0)</f>
        <v>0</v>
      </c>
      <c r="K24" s="28">
        <f>IF(F24&gt;0,0,IF($A24=$G22,$B24,IF($E24=$G22,$D24,0)))</f>
        <v>0</v>
      </c>
      <c r="L24" s="28">
        <f>IF(F24&gt;0,0,IF($A24=$G22,$D24,IF($E24=$G22,$B24,0)))</f>
        <v>0</v>
      </c>
      <c r="M24">
        <f t="shared" ref="M24:M29" si="29">(($H24*$B$10)+$I24)</f>
        <v>0</v>
      </c>
      <c r="N24">
        <f>IF(AND(F24=0,OR($A24=$N22,$E24=$N22)),1,0)</f>
        <v>0</v>
      </c>
      <c r="O24">
        <f>IF(AND(F24=0,OR(AND($A24=$N22,$B24&gt;$D24),AND($E24=$N22,$D24&gt;$B24))),1,0)</f>
        <v>0</v>
      </c>
      <c r="P24">
        <f t="shared" ref="P24:P29" si="30">IF(AND(F24=0,N24=1,$B24=$D24),1,0)</f>
        <v>0</v>
      </c>
      <c r="Q24">
        <f>IF(AND(F24=0,OR(AND($A24=$N22,$B24&lt;$D24),AND($E24=$N22,$D24&lt;$B24))),1,0)</f>
        <v>0</v>
      </c>
      <c r="R24">
        <f>IF(F24&gt;0,0,IF($A24=$N22,$B24,IF($E24=$N22,$D24,0)))</f>
        <v>0</v>
      </c>
      <c r="S24">
        <f>IF(F24&gt;0,0,IF($A24=$N22,$D24,IF($E24=$N22,$B24,0)))</f>
        <v>0</v>
      </c>
      <c r="T24">
        <f t="shared" ref="T24:T29" si="31">(($O24*$B$10)+$P24)</f>
        <v>0</v>
      </c>
      <c r="U24">
        <f>IF(AND(F24=0,OR($A24=$U22,$E24=$U22)),1,0)</f>
        <v>0</v>
      </c>
      <c r="V24">
        <f>IF(AND(F24=0,OR(AND($A24=$U22,$B24&gt;$D24),AND($E24=$U22,$D24&gt;$B24))),1,0)</f>
        <v>0</v>
      </c>
      <c r="W24">
        <f t="shared" ref="W24:W29" si="32">IF(AND(F24=0,U24=1,$B24=$D24),1,0)</f>
        <v>0</v>
      </c>
      <c r="X24">
        <f>IF(AND(F24=0,OR(AND($A24=$U22,$B24&lt;$D24),AND($E24=$U22,$D24&lt;$B24))),1,0)</f>
        <v>0</v>
      </c>
      <c r="Y24">
        <f>IF(F24&gt;0,0,IF($A24=$U22,$B24,IF($E24=$U22,$D24,0)))</f>
        <v>0</v>
      </c>
      <c r="Z24">
        <f>IF(F24&gt;0,0,IF($A24=$U22,$D24,IF($E24=$U22,$B24,0)))</f>
        <v>0</v>
      </c>
      <c r="AA24">
        <f t="shared" ref="AA24:AA29" si="33">(($V24*$B$10)+$W24)</f>
        <v>0</v>
      </c>
      <c r="AB24">
        <f>IF(AND(F24=0,OR($A24=$AB22,$E24=$AB22)),1,0)</f>
        <v>0</v>
      </c>
      <c r="AC24">
        <f>IF(AND(F24=0,OR(AND($A24=$AB22,$B24&gt;$D24),AND($E24=$AB22,$D24&gt;$B24))),1,0)</f>
        <v>0</v>
      </c>
      <c r="AD24">
        <f t="shared" ref="AD24:AD29" si="34">IF(AND(F24=0,AB24=1,$B24=$D24),1,0)</f>
        <v>0</v>
      </c>
      <c r="AE24">
        <f>IF(AND(F24=0,OR(AND($A24=$AB22,$B24&lt;$D24),AND($E24=$AB22,$D24&lt;$B24))),1,0)</f>
        <v>0</v>
      </c>
      <c r="AF24">
        <f>IF(F24&gt;0,0,IF($A24=$AB22,$B24,IF($E24=$AB22,$D24,0)))</f>
        <v>0</v>
      </c>
      <c r="AG24">
        <f>IF(F24&gt;0,0,IF($A24=$AB22,$D24,IF($E24=$AB22,$B24,0)))</f>
        <v>0</v>
      </c>
      <c r="AH24">
        <f t="shared" ref="AH24:AH29" si="35">(($AC24*$B$10)+$AD24)</f>
        <v>0</v>
      </c>
      <c r="AJ24" s="28" t="str">
        <f>G22</f>
        <v>vítěz utkání 2st-3</v>
      </c>
      <c r="AK24" s="28">
        <f t="shared" ref="AK24:AQ24" si="36">G30</f>
        <v>0</v>
      </c>
      <c r="AL24" s="28">
        <f t="shared" si="36"/>
        <v>0</v>
      </c>
      <c r="AM24" s="28">
        <f t="shared" si="36"/>
        <v>0</v>
      </c>
      <c r="AN24" s="28">
        <f t="shared" si="36"/>
        <v>0</v>
      </c>
      <c r="AO24" s="28">
        <f t="shared" si="36"/>
        <v>0</v>
      </c>
      <c r="AP24" s="28">
        <f t="shared" si="36"/>
        <v>0</v>
      </c>
      <c r="AQ24" s="28">
        <f t="shared" si="36"/>
        <v>0</v>
      </c>
      <c r="AS24" s="28" t="str">
        <f>IF($AQ24&gt;=$AQ25,$AJ24,$AJ25)</f>
        <v>vítěz utkání 2st-3</v>
      </c>
      <c r="AT24" s="28">
        <f>VLOOKUP(AS24,$AJ24:$AQ27,8,FALSE)</f>
        <v>0</v>
      </c>
      <c r="AU24" s="28" t="str">
        <f>IF($AT24&gt;=$AT26,$AS24,$AS26)</f>
        <v>vítěz utkání 2st-3</v>
      </c>
      <c r="AV24" s="28">
        <f>VLOOKUP(AU24,$AS24:$AT27,2,FALSE)</f>
        <v>0</v>
      </c>
      <c r="AW24" s="28" t="str">
        <f>IF($AV24&gt;=$AV27,$AU24,$AU27)</f>
        <v>vítěz utkání 2st-3</v>
      </c>
      <c r="AX24" s="28">
        <f>VLOOKUP(AW24,$AU24:$AV27,2,FALSE)</f>
        <v>0</v>
      </c>
      <c r="AY24" s="28">
        <f>VLOOKUP(AW24,$AJ24:$AQ27,6,FALSE)</f>
        <v>0</v>
      </c>
      <c r="AZ24" s="28">
        <f>VLOOKUP(AW24,$AJ24:$AQ27,7,FALSE)</f>
        <v>0</v>
      </c>
      <c r="BA24" s="28">
        <f>AY24-AZ24</f>
        <v>0</v>
      </c>
      <c r="BB24" s="28" t="str">
        <f>IF(AND($AX24=$AX25,$BA25&gt;$BA24),$AW25,$AW24)</f>
        <v>vítěz utkání 2st-3</v>
      </c>
      <c r="BC24" s="28">
        <f>VLOOKUP(BB24,$AW24:$BA27,2,FALSE)</f>
        <v>0</v>
      </c>
      <c r="BD24" s="28">
        <f>VLOOKUP(BB24,$AW24:$BA27,5,FALSE)</f>
        <v>0</v>
      </c>
      <c r="BE24" s="28" t="str">
        <f>IF(AND($BC24=$BC26,$BD26&gt;$BD24),$BB26,$BB24)</f>
        <v>vítěz utkání 2st-3</v>
      </c>
      <c r="BF24" s="28">
        <f>VLOOKUP(BE24,$BB24:$BD27,2,FALSE)</f>
        <v>0</v>
      </c>
      <c r="BG24" s="28">
        <f>VLOOKUP(BE24,$BB24:$BD27,3,FALSE)</f>
        <v>0</v>
      </c>
      <c r="BH24" s="28" t="str">
        <f>IF(AND($BF24=$BF27,$BG27&gt;$BG24),$BE27,$BE24)</f>
        <v>vítěz utkání 2st-3</v>
      </c>
      <c r="BI24" s="28">
        <f>VLOOKUP(BH24,$BE24:$BG27,2,FALSE)</f>
        <v>0</v>
      </c>
      <c r="BJ24" s="28">
        <f>VLOOKUP(BH24,$BE24:$BG27,3,FALSE)</f>
        <v>0</v>
      </c>
      <c r="BK24" s="28">
        <f>VLOOKUP(BH24,$AJ24:$AQ27,6,FALSE)</f>
        <v>0</v>
      </c>
      <c r="BL24" s="28" t="str">
        <f>IF(AND($BI24=$BI25,$BJ24=$BJ25,$BK25&gt;$BK24),$BH25,$BH24)</f>
        <v>vítěz utkání 2st-3</v>
      </c>
      <c r="BM24" s="28">
        <f>VLOOKUP(BL24,$BH24:$BK27,2,FALSE)</f>
        <v>0</v>
      </c>
      <c r="BN24" s="28">
        <f>VLOOKUP(BL24,$BH24:$BK27,3,FALSE)</f>
        <v>0</v>
      </c>
      <c r="BO24" s="28">
        <f>VLOOKUP(BL24,$BH24:$BK27,4,FALSE)</f>
        <v>0</v>
      </c>
      <c r="BP24" s="28" t="str">
        <f>IF(AND($BM24=$BM26,$BN24=$BN26,$BO26&gt;$BO24),$BL26,$BL24)</f>
        <v>vítěz utkání 2st-3</v>
      </c>
      <c r="BQ24" s="28">
        <f>VLOOKUP(BP24,$BL24:$BO27,2,FALSE)</f>
        <v>0</v>
      </c>
      <c r="BR24" s="28">
        <f>VLOOKUP(BP24,$BL24:$BO27,3,FALSE)</f>
        <v>0</v>
      </c>
      <c r="BS24" s="28">
        <f>VLOOKUP(BP24,$BL24:$BO27,4,FALSE)</f>
        <v>0</v>
      </c>
      <c r="BT24" s="28" t="str">
        <f>IF(AND($BQ24=$BQ27,$BR24=$BR27,$BS27&gt;$BS24),$BP27,$BP24)</f>
        <v>vítěz utkání 2st-3</v>
      </c>
      <c r="BU24" s="28">
        <f>VLOOKUP(BT24,$BP24:$BS27,2,FALSE)</f>
        <v>0</v>
      </c>
      <c r="BV24" s="28">
        <f>VLOOKUP(BT24,$BP24:$BS27,3,FALSE)</f>
        <v>0</v>
      </c>
      <c r="BW24" s="28">
        <f>VLOOKUP(BT24,$BP24:$BS27,4,FALSE)</f>
        <v>0</v>
      </c>
      <c r="BX24" s="28" t="str">
        <f>BT24</f>
        <v>vítěz utkání 2st-3</v>
      </c>
      <c r="BY24" s="28">
        <f>VLOOKUP($BX24,$AJ24:$AQ27,2,FALSE)</f>
        <v>0</v>
      </c>
      <c r="BZ24" s="28">
        <f>VLOOKUP($BX24,$AJ24:$AQ27,3,FALSE)</f>
        <v>0</v>
      </c>
      <c r="CA24" s="28">
        <f>VLOOKUP($BX24,$AJ24:$AQ27,4,FALSE)</f>
        <v>0</v>
      </c>
      <c r="CB24" s="28">
        <f>VLOOKUP($BX24,$AJ24:$AQ27,5,FALSE)</f>
        <v>0</v>
      </c>
      <c r="CC24" s="28">
        <f>VLOOKUP($BX24,$AJ24:$AQ27,6,FALSE)</f>
        <v>0</v>
      </c>
      <c r="CD24" s="28">
        <f>VLOOKUP($BX24,$AJ24:$AQ27,7,FALSE)</f>
        <v>0</v>
      </c>
      <c r="CE24" s="28">
        <f>VLOOKUP($BX24,$AJ24:$AQ27,8,FALSE)</f>
        <v>0</v>
      </c>
      <c r="CF24" s="128" t="str">
        <f>CONCATENATE(CC24,":",CD24)</f>
        <v>0:0</v>
      </c>
    </row>
    <row r="25" spans="1:84" x14ac:dyDescent="0.2">
      <c r="A25" s="27" t="str">
        <f>'3-zapasy'!D20</f>
        <v>vítěz utkání 2st-6</v>
      </c>
      <c r="B25" s="27" t="str">
        <f>'3-zapasy'!I20</f>
        <v/>
      </c>
      <c r="C25" s="27" t="e">
        <f>'3-zapasy'!#REF!</f>
        <v>#REF!</v>
      </c>
      <c r="D25" s="27" t="str">
        <f>'3-zapasy'!J20</f>
        <v/>
      </c>
      <c r="E25" s="27" t="str">
        <f>'3-zapasy'!E20</f>
        <v>vítěz utkání 2st-11</v>
      </c>
      <c r="F25" s="28">
        <f>COUNTBLANK('3-zapasy'!I20:'3-zapasy'!J20)</f>
        <v>2</v>
      </c>
      <c r="G25" s="28">
        <f>IF(AND(F25=0,OR($A25=$G22,$E25=$G22)),1,0)</f>
        <v>0</v>
      </c>
      <c r="H25" s="28">
        <f>IF(AND(F25=0,OR(AND($A25=$G22,$B25&gt;$D25),AND($E25=$G22,$D25&gt;$B25))),1,0)</f>
        <v>0</v>
      </c>
      <c r="I25" s="28">
        <f t="shared" si="28"/>
        <v>0</v>
      </c>
      <c r="J25" s="28">
        <f>IF(AND(F25=0,OR(AND($A25=$G22,$B25&lt;$D25),AND($E25=$G22,$D25&lt;$B25))),1,0)</f>
        <v>0</v>
      </c>
      <c r="K25" s="28">
        <f>IF(F25&gt;0,0,IF($A25=$G22,$B25,IF($E25=$G22,$D25,0)))</f>
        <v>0</v>
      </c>
      <c r="L25" s="28">
        <f>IF(F25&gt;0,0,IF($A25=$G22,$D25,IF($E25=$G22,$B25,0)))</f>
        <v>0</v>
      </c>
      <c r="M25">
        <f t="shared" si="29"/>
        <v>0</v>
      </c>
      <c r="N25">
        <f>IF(AND(F25=0,OR($A25=$N22,$E25=$N22)),1,0)</f>
        <v>0</v>
      </c>
      <c r="O25">
        <f>IF(AND(F25=0,OR(AND($A25=$N22,$B25&gt;$D25),AND($E25=$N22,$D25&gt;$B25))),1,0)</f>
        <v>0</v>
      </c>
      <c r="P25">
        <f t="shared" si="30"/>
        <v>0</v>
      </c>
      <c r="Q25">
        <f>IF(AND(F25=0,OR(AND($A25=$N22,$B25&lt;$D25),AND($E25=$N22,$D25&lt;$B25))),1,0)</f>
        <v>0</v>
      </c>
      <c r="R25">
        <f>IF(F25&gt;0,0,IF($A25=$N22,$B25,IF($E25=$N22,$D25,0)))</f>
        <v>0</v>
      </c>
      <c r="S25">
        <f>IF(F25&gt;0,0,IF($A25=$N22,$D25,IF($E25=$N22,$B25,0)))</f>
        <v>0</v>
      </c>
      <c r="T25">
        <f t="shared" si="31"/>
        <v>0</v>
      </c>
      <c r="U25">
        <f>IF(AND(F25=0,OR($A25=$U22,$E25=$U22)),1,0)</f>
        <v>0</v>
      </c>
      <c r="V25">
        <f>IF(AND(F25=0,OR(AND($A25=$U22,$B25&gt;$D25),AND($E25=$U22,$D25&gt;$B25))),1,0)</f>
        <v>0</v>
      </c>
      <c r="W25">
        <f t="shared" si="32"/>
        <v>0</v>
      </c>
      <c r="X25">
        <f>IF(AND(F25=0,OR(AND($A25=$U22,$B25&lt;$D25),AND($E25=$U22,$D25&lt;$B25))),1,0)</f>
        <v>0</v>
      </c>
      <c r="Y25">
        <f>IF(F25&gt;0,0,IF($A25=$U22,$B25,IF($E25=$U22,$D25,0)))</f>
        <v>0</v>
      </c>
      <c r="Z25">
        <f>IF(F25&gt;0,0,IF($A25=$U22,$D25,IF($E25=$U22,$B25,0)))</f>
        <v>0</v>
      </c>
      <c r="AA25">
        <f t="shared" si="33"/>
        <v>0</v>
      </c>
      <c r="AB25">
        <f>IF(AND(F25=0,OR($A25=$AB22,$E25=$AB22)),1,0)</f>
        <v>0</v>
      </c>
      <c r="AC25">
        <f>IF(AND(F25=0,OR(AND($A25=$AB22,$B25&gt;$D25),AND($E25=$AB22,$D25&gt;$B25))),1,0)</f>
        <v>0</v>
      </c>
      <c r="AD25">
        <f t="shared" si="34"/>
        <v>0</v>
      </c>
      <c r="AE25">
        <f>IF(AND(F25=0,OR(AND($A25=$AB22,$B25&lt;$D25),AND($E25=$AB22,$D25&lt;$B25))),1,0)</f>
        <v>0</v>
      </c>
      <c r="AF25">
        <f>IF(F25&gt;0,0,IF($A25=$AB22,$B25,IF($E25=$AB22,$D25,0)))</f>
        <v>0</v>
      </c>
      <c r="AG25">
        <f>IF(F25&gt;0,0,IF($A25=$AB22,$D25,IF($E25=$AB22,$B25,0)))</f>
        <v>0</v>
      </c>
      <c r="AH25">
        <f t="shared" si="35"/>
        <v>0</v>
      </c>
      <c r="AJ25" s="28" t="str">
        <f>N22</f>
        <v>vítěz utkání 2st-14</v>
      </c>
      <c r="AK25" s="28">
        <f t="shared" ref="AK25:AQ25" si="37">N30</f>
        <v>0</v>
      </c>
      <c r="AL25" s="28">
        <f t="shared" si="37"/>
        <v>0</v>
      </c>
      <c r="AM25" s="28">
        <f t="shared" si="37"/>
        <v>0</v>
      </c>
      <c r="AN25" s="28">
        <f t="shared" si="37"/>
        <v>0</v>
      </c>
      <c r="AO25" s="28">
        <f t="shared" si="37"/>
        <v>0</v>
      </c>
      <c r="AP25" s="28">
        <f t="shared" si="37"/>
        <v>0</v>
      </c>
      <c r="AQ25" s="28">
        <f t="shared" si="37"/>
        <v>0</v>
      </c>
      <c r="AS25" s="28" t="str">
        <f>IF($AQ25&lt;=$AQ24,$AJ25,$AJ24)</f>
        <v>vítěz utkání 2st-14</v>
      </c>
      <c r="AT25" s="28">
        <f>VLOOKUP(AS25,$AJ24:$AQ27,8,FALSE)</f>
        <v>0</v>
      </c>
      <c r="AU25" s="28" t="str">
        <f>IF($AT25&gt;=$AT27,$AS25,$AS27)</f>
        <v>vítěz utkání 2st-14</v>
      </c>
      <c r="AV25" s="28">
        <f>VLOOKUP(AU25,$AS24:$AT27,2,FALSE)</f>
        <v>0</v>
      </c>
      <c r="AW25" s="28" t="str">
        <f>IF($AV25&gt;=$AV26,$AU25,$AU26)</f>
        <v>vítěz utkání 2st-14</v>
      </c>
      <c r="AX25" s="28">
        <f>VLOOKUP(AW25,$AU24:$AV27,2,FALSE)</f>
        <v>0</v>
      </c>
      <c r="AY25" s="28">
        <f>VLOOKUP(AW25,$AJ24:$AQ27,6,FALSE)</f>
        <v>0</v>
      </c>
      <c r="AZ25" s="28">
        <f>VLOOKUP(AW25,$AJ24:$AQ27,7,FALSE)</f>
        <v>0</v>
      </c>
      <c r="BA25" s="28">
        <f>AY25-AZ25</f>
        <v>0</v>
      </c>
      <c r="BB25" s="28" t="str">
        <f>IF(AND($AX24=$AX25,$BA25&gt;$BA24),$AW24,$AW25)</f>
        <v>vítěz utkání 2st-14</v>
      </c>
      <c r="BC25" s="28">
        <f>VLOOKUP(BB25,$AW24:$BA27,2,FALSE)</f>
        <v>0</v>
      </c>
      <c r="BD25" s="28">
        <f>VLOOKUP(BB25,$AW24:$BA27,5,FALSE)</f>
        <v>0</v>
      </c>
      <c r="BE25" s="28" t="str">
        <f>IF(AND($BC25=$BC27,$BD27&gt;$BD25),$BB27,$BB25)</f>
        <v>vítěz utkání 2st-14</v>
      </c>
      <c r="BF25" s="28">
        <f>VLOOKUP(BE25,$BB24:$BD27,2,FALSE)</f>
        <v>0</v>
      </c>
      <c r="BG25" s="28">
        <f>VLOOKUP(BE25,$BB24:$BD27,3,FALSE)</f>
        <v>0</v>
      </c>
      <c r="BH25" s="28" t="str">
        <f>IF(AND($BF25=$BF26,$BG26&gt;$BG25),$BE26,$BE25)</f>
        <v>vítěz utkání 2st-14</v>
      </c>
      <c r="BI25" s="28">
        <f>VLOOKUP(BH25,$BE24:$BG27,2,FALSE)</f>
        <v>0</v>
      </c>
      <c r="BJ25" s="28">
        <f>VLOOKUP(BH25,$BE24:$BG27,3,FALSE)</f>
        <v>0</v>
      </c>
      <c r="BK25" s="28">
        <f>VLOOKUP(BH25,$AJ24:$AQ27,6,FALSE)</f>
        <v>0</v>
      </c>
      <c r="BL25" s="28" t="str">
        <f>IF(AND($BI24=$BI25,$BJ24=$BJ25,$BK25&gt;$BK24),$BH24,$BH25)</f>
        <v>vítěz utkání 2st-14</v>
      </c>
      <c r="BM25" s="28">
        <f>VLOOKUP(BL25,$BH24:$BK27,2,FALSE)</f>
        <v>0</v>
      </c>
      <c r="BN25" s="28">
        <f>VLOOKUP(BL25,$BH24:$BK27,3,FALSE)</f>
        <v>0</v>
      </c>
      <c r="BO25" s="28">
        <f>VLOOKUP(BL25,$BH24:$BK27,4,FALSE)</f>
        <v>0</v>
      </c>
      <c r="BP25" s="28" t="str">
        <f>IF(AND($BM25=$BM27,$BN25=$BN27,$BO27&gt;$BO25),$BL27,$BL25)</f>
        <v>vítěz utkání 2st-14</v>
      </c>
      <c r="BQ25" s="28">
        <f>VLOOKUP(BP25,$BL24:$BO27,2,FALSE)</f>
        <v>0</v>
      </c>
      <c r="BR25" s="28">
        <f>VLOOKUP(BP25,$BL24:$BO27,3,FALSE)</f>
        <v>0</v>
      </c>
      <c r="BS25" s="28">
        <f>VLOOKUP(BP25,$BL24:$BO27,4,FALSE)</f>
        <v>0</v>
      </c>
      <c r="BT25" s="28" t="str">
        <f>IF(AND($BQ25=$BQ26,$BR25=$BR26,$BS26&gt;$BS25),$BP26,$BP25)</f>
        <v>vítěz utkání 2st-14</v>
      </c>
      <c r="BU25" s="28">
        <f>VLOOKUP(BT25,$BP24:$BS27,2,FALSE)</f>
        <v>0</v>
      </c>
      <c r="BV25" s="28">
        <f>VLOOKUP(BT25,$BP24:$BS27,3,FALSE)</f>
        <v>0</v>
      </c>
      <c r="BW25" s="28">
        <f>VLOOKUP(BT25,$BP24:$BS27,4,FALSE)</f>
        <v>0</v>
      </c>
      <c r="BX25" s="28" t="str">
        <f>BT25</f>
        <v>vítěz utkání 2st-14</v>
      </c>
      <c r="BY25" s="28">
        <f>VLOOKUP($BX25,$AJ24:$AQ27,2,FALSE)</f>
        <v>0</v>
      </c>
      <c r="BZ25" s="28">
        <f>VLOOKUP($BX25,$AJ24:$AQ27,3,FALSE)</f>
        <v>0</v>
      </c>
      <c r="CA25" s="28">
        <f>VLOOKUP($BX25,$AJ24:$AQ27,4,FALSE)</f>
        <v>0</v>
      </c>
      <c r="CB25" s="28">
        <f>VLOOKUP($BX25,$AJ24:$AQ27,5,FALSE)</f>
        <v>0</v>
      </c>
      <c r="CC25" s="28">
        <f>VLOOKUP($BX25,$AJ24:$AQ27,6,FALSE)</f>
        <v>0</v>
      </c>
      <c r="CD25" s="28">
        <f>VLOOKUP($BX25,$AJ24:$AQ27,7,FALSE)</f>
        <v>0</v>
      </c>
      <c r="CE25" s="28">
        <f>VLOOKUP($BX25,$AJ24:$AQ27,8,FALSE)</f>
        <v>0</v>
      </c>
      <c r="CF25" s="128" t="str">
        <f>CONCATENATE(CC25,":",CD25)</f>
        <v>0:0</v>
      </c>
    </row>
    <row r="26" spans="1:84" x14ac:dyDescent="0.2">
      <c r="A26" s="27" t="str">
        <f>'3-zapasy'!D21</f>
        <v>vítěz utkání 2st-14</v>
      </c>
      <c r="B26" s="27" t="str">
        <f>'3-zapasy'!I21</f>
        <v/>
      </c>
      <c r="C26" s="27" t="e">
        <f>'3-zapasy'!#REF!</f>
        <v>#REF!</v>
      </c>
      <c r="D26" s="27" t="str">
        <f>'3-zapasy'!J21</f>
        <v/>
      </c>
      <c r="E26" s="27" t="str">
        <f>'3-zapasy'!E21</f>
        <v>vítěz utkání 2st-6</v>
      </c>
      <c r="F26" s="28">
        <f>COUNTBLANK('3-zapasy'!I21:'3-zapasy'!J21)</f>
        <v>2</v>
      </c>
      <c r="G26" s="28">
        <f>IF(AND(F26=0,OR($A26=$G22,$E26=$G22)),1,0)</f>
        <v>0</v>
      </c>
      <c r="H26" s="28">
        <f>IF(AND(F26=0,OR(AND($A26=$G22,$B26&gt;$D26),AND($E26=$G22,$D26&gt;$B26))),1,0)</f>
        <v>0</v>
      </c>
      <c r="I26" s="28">
        <f t="shared" si="28"/>
        <v>0</v>
      </c>
      <c r="J26" s="28">
        <f>IF(AND(F26=0,OR(AND($A26=$G22,$B26&lt;$D26),AND($E26=$G22,$D26&lt;$B26))),1,0)</f>
        <v>0</v>
      </c>
      <c r="K26" s="28">
        <f>IF(F26&gt;0,0,IF($A26=$G22,$B26,IF($E26=$G22,$D26,0)))</f>
        <v>0</v>
      </c>
      <c r="L26" s="28">
        <f>IF(F26&gt;0,0,IF($A26=$G22,$D26,IF($E26=$G22,$B26,0)))</f>
        <v>0</v>
      </c>
      <c r="M26">
        <f t="shared" si="29"/>
        <v>0</v>
      </c>
      <c r="N26">
        <f>IF(AND(F26=0,OR($A26=$N22,$E26=$N22)),1,0)</f>
        <v>0</v>
      </c>
      <c r="O26">
        <f>IF(AND(F26=0,OR(AND($A26=$N22,$B26&gt;$D26),AND($E26=$N22,$D26&gt;$B26))),1,0)</f>
        <v>0</v>
      </c>
      <c r="P26">
        <f t="shared" si="30"/>
        <v>0</v>
      </c>
      <c r="Q26">
        <f>IF(AND(F26=0,OR(AND($A26=$N22,$B26&lt;$D26),AND($E26=$N22,$D26&lt;$B26))),1,0)</f>
        <v>0</v>
      </c>
      <c r="R26">
        <f>IF(F26&gt;0,0,IF($A26=$N22,$B26,IF($E26=$N22,$D26,0)))</f>
        <v>0</v>
      </c>
      <c r="S26">
        <f>IF(F26&gt;0,0,IF($A26=$N22,$D26,IF($E26=$N22,$B26,0)))</f>
        <v>0</v>
      </c>
      <c r="T26">
        <f t="shared" si="31"/>
        <v>0</v>
      </c>
      <c r="U26">
        <f>IF(AND(F26=0,OR($A26=$U22,$E26=$U22)),1,0)</f>
        <v>0</v>
      </c>
      <c r="V26">
        <f>IF(AND(F26=0,OR(AND($A26=$U22,$B26&gt;$D26),AND($E26=$U22,$D26&gt;$B26))),1,0)</f>
        <v>0</v>
      </c>
      <c r="W26">
        <f t="shared" si="32"/>
        <v>0</v>
      </c>
      <c r="X26">
        <f>IF(AND(F26=0,OR(AND($A26=$U22,$B26&lt;$D26),AND($E26=$U22,$D26&lt;$B26))),1,0)</f>
        <v>0</v>
      </c>
      <c r="Y26">
        <f>IF(F26&gt;0,0,IF($A26=$U22,$B26,IF($E26=$U22,$D26,0)))</f>
        <v>0</v>
      </c>
      <c r="Z26">
        <f>IF(F26&gt;0,0,IF($A26=$U22,$D26,IF($E26=$U22,$B26,0)))</f>
        <v>0</v>
      </c>
      <c r="AA26">
        <f t="shared" si="33"/>
        <v>0</v>
      </c>
      <c r="AB26">
        <f>IF(AND(F26=0,OR($A26=$AB22,$E26=$AB22)),1,0)</f>
        <v>0</v>
      </c>
      <c r="AC26">
        <f>IF(AND(F26=0,OR(AND($A26=$AB22,$B26&gt;$D26),AND($E26=$AB22,$D26&gt;$B26))),1,0)</f>
        <v>0</v>
      </c>
      <c r="AD26">
        <f t="shared" si="34"/>
        <v>0</v>
      </c>
      <c r="AE26">
        <f>IF(AND(F26=0,OR(AND($A26=$AB22,$B26&lt;$D26),AND($E26=$AB22,$D26&lt;$B26))),1,0)</f>
        <v>0</v>
      </c>
      <c r="AF26">
        <f>IF(F26&gt;0,0,IF($A26=$AB22,$B26,IF($E26=$AB22,$D26,0)))</f>
        <v>0</v>
      </c>
      <c r="AG26">
        <f>IF(F26&gt;0,0,IF($A26=$AB22,$D26,IF($E26=$AB22,$B26,0)))</f>
        <v>0</v>
      </c>
      <c r="AH26">
        <f t="shared" si="35"/>
        <v>0</v>
      </c>
      <c r="AJ26" s="28" t="str">
        <f>U22</f>
        <v>vítěz utkání 2st-6</v>
      </c>
      <c r="AK26" s="28">
        <f t="shared" ref="AK26:AQ26" si="38">U30</f>
        <v>0</v>
      </c>
      <c r="AL26" s="28">
        <f t="shared" si="38"/>
        <v>0</v>
      </c>
      <c r="AM26" s="28">
        <f t="shared" si="38"/>
        <v>0</v>
      </c>
      <c r="AN26" s="28">
        <f t="shared" si="38"/>
        <v>0</v>
      </c>
      <c r="AO26" s="28">
        <f t="shared" si="38"/>
        <v>0</v>
      </c>
      <c r="AP26" s="28">
        <f t="shared" si="38"/>
        <v>0</v>
      </c>
      <c r="AQ26" s="28">
        <f t="shared" si="38"/>
        <v>0</v>
      </c>
      <c r="AS26" s="28" t="str">
        <f>IF($AQ26&gt;=$AQ27,$AJ26,$AJ27)</f>
        <v>vítěz utkání 2st-6</v>
      </c>
      <c r="AT26" s="28">
        <f>VLOOKUP(AS26,$AJ24:$AQ27,8,FALSE)</f>
        <v>0</v>
      </c>
      <c r="AU26" s="28" t="str">
        <f>IF($AT26&lt;=$AT24,$AS26,$AS24)</f>
        <v>vítěz utkání 2st-6</v>
      </c>
      <c r="AV26" s="28">
        <f>VLOOKUP(AU26,$AS24:$AT27,2,FALSE)</f>
        <v>0</v>
      </c>
      <c r="AW26" s="28" t="str">
        <f>IF($AV26&lt;=$AV25,$AU26,$AU25)</f>
        <v>vítěz utkání 2st-6</v>
      </c>
      <c r="AX26" s="28">
        <f>VLOOKUP(AW26,$AU24:$AV27,2,FALSE)</f>
        <v>0</v>
      </c>
      <c r="AY26" s="28">
        <f>VLOOKUP(AW26,$AJ24:$AQ27,6,FALSE)</f>
        <v>0</v>
      </c>
      <c r="AZ26" s="28">
        <f>VLOOKUP(AW26,$AJ24:$AQ27,7,FALSE)</f>
        <v>0</v>
      </c>
      <c r="BA26" s="28">
        <f>AY26-AZ26</f>
        <v>0</v>
      </c>
      <c r="BB26" s="28" t="str">
        <f>IF(AND($AX26=$AX27,$BA27&gt;$BA26),$AW27,$AW26)</f>
        <v>vítěz utkání 2st-6</v>
      </c>
      <c r="BC26" s="28">
        <f>VLOOKUP(BB26,$AW24:$BA27,2,FALSE)</f>
        <v>0</v>
      </c>
      <c r="BD26" s="28">
        <f>VLOOKUP(BB26,$AW24:$BA27,5,FALSE)</f>
        <v>0</v>
      </c>
      <c r="BE26" s="28" t="str">
        <f>IF(AND($BC24=$BC26,$BD26&gt;$BD24),$BB24,$BB26)</f>
        <v>vítěz utkání 2st-6</v>
      </c>
      <c r="BF26" s="28">
        <f>VLOOKUP(BE26,$BB24:$BD27,2,FALSE)</f>
        <v>0</v>
      </c>
      <c r="BG26" s="28">
        <f>VLOOKUP(BE26,$BB24:$BD27,3,FALSE)</f>
        <v>0</v>
      </c>
      <c r="BH26" s="28" t="str">
        <f>IF(AND($BF25=$BF26,$BG26&gt;$BG25),$BE25,$BE26)</f>
        <v>vítěz utkání 2st-6</v>
      </c>
      <c r="BI26" s="28">
        <f>VLOOKUP(BH26,$BE24:$BG27,2,FALSE)</f>
        <v>0</v>
      </c>
      <c r="BJ26" s="28">
        <f>VLOOKUP(BH26,$BE24:$BG27,3,FALSE)</f>
        <v>0</v>
      </c>
      <c r="BK26" s="28">
        <f>VLOOKUP(BH26,$AJ24:$AQ27,6,FALSE)</f>
        <v>0</v>
      </c>
      <c r="BL26" s="28" t="str">
        <f>IF(AND($BI26=$BI27,$BJ26=$BJ27,$BK27&gt;$BK26),$BH27,$BH26)</f>
        <v>vítěz utkání 2st-6</v>
      </c>
      <c r="BM26" s="28">
        <f>VLOOKUP(BL26,$BH24:$BK27,2,FALSE)</f>
        <v>0</v>
      </c>
      <c r="BN26" s="28">
        <f>VLOOKUP(BL26,$BH24:$BK27,3,FALSE)</f>
        <v>0</v>
      </c>
      <c r="BO26" s="28">
        <f>VLOOKUP(BL26,$BH24:$BK27,4,FALSE)</f>
        <v>0</v>
      </c>
      <c r="BP26" s="28" t="str">
        <f>IF(AND($BM24=$BM26,$BN24=$BN26,$BO26&gt;$BO24),$BL24,$BL26)</f>
        <v>vítěz utkání 2st-6</v>
      </c>
      <c r="BQ26" s="28">
        <f>VLOOKUP(BP26,$BL24:$BO27,2,FALSE)</f>
        <v>0</v>
      </c>
      <c r="BR26" s="28">
        <f>VLOOKUP(BP26,$BL24:$BO27,3,FALSE)</f>
        <v>0</v>
      </c>
      <c r="BS26" s="28">
        <f>VLOOKUP(BP26,$BL24:$BO27,4,FALSE)</f>
        <v>0</v>
      </c>
      <c r="BT26" s="28" t="str">
        <f>IF(AND($BQ25=$BQ26,$BR25=$BR26,$BS26&gt;$BS25),$BP25,$BP26)</f>
        <v>vítěz utkání 2st-6</v>
      </c>
      <c r="BU26" s="28">
        <f>VLOOKUP(BT26,$BP24:$BS27,2,FALSE)</f>
        <v>0</v>
      </c>
      <c r="BV26" s="28">
        <f>VLOOKUP(BT26,$BP24:$BS27,3,FALSE)</f>
        <v>0</v>
      </c>
      <c r="BW26" s="28">
        <f>VLOOKUP(BT26,$BP24:$BS27,4,FALSE)</f>
        <v>0</v>
      </c>
      <c r="BX26" s="28" t="str">
        <f>BT26</f>
        <v>vítěz utkání 2st-6</v>
      </c>
      <c r="BY26" s="28">
        <f>VLOOKUP($BX26,$AJ24:$AQ27,2,FALSE)</f>
        <v>0</v>
      </c>
      <c r="BZ26" s="28">
        <f>VLOOKUP($BX26,$AJ24:$AQ27,3,FALSE)</f>
        <v>0</v>
      </c>
      <c r="CA26" s="28">
        <f>VLOOKUP($BX26,$AJ24:$AQ27,4,FALSE)</f>
        <v>0</v>
      </c>
      <c r="CB26" s="28">
        <f>VLOOKUP($BX26,$AJ24:$AQ27,5,FALSE)</f>
        <v>0</v>
      </c>
      <c r="CC26" s="28">
        <f>VLOOKUP($BX26,$AJ24:$AQ27,6,FALSE)</f>
        <v>0</v>
      </c>
      <c r="CD26" s="28">
        <f>VLOOKUP($BX26,$AJ24:$AQ27,7,FALSE)</f>
        <v>0</v>
      </c>
      <c r="CE26" s="28">
        <f>VLOOKUP($BX26,$AJ24:$AQ27,8,FALSE)</f>
        <v>0</v>
      </c>
      <c r="CF26" s="128" t="str">
        <f>CONCATENATE(CC26,":",CD26)</f>
        <v>0:0</v>
      </c>
    </row>
    <row r="27" spans="1:84" x14ac:dyDescent="0.2">
      <c r="A27" s="27" t="str">
        <f>'3-zapasy'!D22</f>
        <v>vítěz utkání 2st-11</v>
      </c>
      <c r="B27" s="27" t="str">
        <f>'3-zapasy'!I22</f>
        <v/>
      </c>
      <c r="C27" s="27" t="e">
        <f>'3-zapasy'!#REF!</f>
        <v>#REF!</v>
      </c>
      <c r="D27" s="27" t="str">
        <f>'3-zapasy'!J22</f>
        <v/>
      </c>
      <c r="E27" s="27" t="str">
        <f>'3-zapasy'!E22</f>
        <v>vítěz utkání 2st-3</v>
      </c>
      <c r="F27" s="28">
        <f>COUNTBLANK('3-zapasy'!I22:'3-zapasy'!J22)</f>
        <v>2</v>
      </c>
      <c r="G27" s="28">
        <f>IF(AND(F27=0,OR($A27=$G22,$E27=$G22)),1,0)</f>
        <v>0</v>
      </c>
      <c r="H27" s="28">
        <f>IF(AND(F27=0,OR(AND($A27=$G22,$B27&gt;$D27),AND($E27=$G22,$D27&gt;$B27))),1,0)</f>
        <v>0</v>
      </c>
      <c r="I27" s="28">
        <f t="shared" si="28"/>
        <v>0</v>
      </c>
      <c r="J27" s="28">
        <f>IF(AND(F27=0,OR(AND($A27=$G22,$B27&lt;$D27),AND($E27=$G22,$D27&lt;$B27))),1,0)</f>
        <v>0</v>
      </c>
      <c r="K27" s="28">
        <f>IF(F27&gt;0,0,IF($A27=$G22,$B27,IF($E27=$G22,$D27,0)))</f>
        <v>0</v>
      </c>
      <c r="L27" s="28">
        <f>IF(F27&gt;0,0,IF($A27=$G22,$D27,IF($E27=$G22,$B27,0)))</f>
        <v>0</v>
      </c>
      <c r="M27">
        <f t="shared" si="29"/>
        <v>0</v>
      </c>
      <c r="N27">
        <f>IF(AND(F27=0,OR($A27=$N22,$E27=$N22)),1,0)</f>
        <v>0</v>
      </c>
      <c r="O27">
        <f>IF(AND(F27=0,OR(AND($A27=$N22,$B27&gt;$D27),AND($E27=$N22,$D27&gt;$B27))),1,0)</f>
        <v>0</v>
      </c>
      <c r="P27">
        <f t="shared" si="30"/>
        <v>0</v>
      </c>
      <c r="Q27">
        <f>IF(AND(F27=0,OR(AND($A27=$N22,$B27&lt;$D27),AND($E27=$N22,$D27&lt;$B27))),1,0)</f>
        <v>0</v>
      </c>
      <c r="R27">
        <f>IF(F27&gt;0,0,IF($A27=$N22,$B27,IF($E27=$N22,$D27,0)))</f>
        <v>0</v>
      </c>
      <c r="S27">
        <f>IF(F27&gt;0,0,IF($A27=$N22,$D27,IF($E27=$N22,$B27,0)))</f>
        <v>0</v>
      </c>
      <c r="T27">
        <f t="shared" si="31"/>
        <v>0</v>
      </c>
      <c r="U27">
        <f>IF(AND(F27=0,OR($A27=$U22,$E27=$U22)),1,0)</f>
        <v>0</v>
      </c>
      <c r="V27">
        <f>IF(AND(F27=0,OR(AND($A27=$U22,$B27&gt;$D27),AND($E27=$U22,$D27&gt;$B27))),1,0)</f>
        <v>0</v>
      </c>
      <c r="W27">
        <f t="shared" si="32"/>
        <v>0</v>
      </c>
      <c r="X27">
        <f>IF(AND(F27=0,OR(AND($A27=$U22,$B27&lt;$D27),AND($E27=$U22,$D27&lt;$B27))),1,0)</f>
        <v>0</v>
      </c>
      <c r="Y27">
        <f>IF(F27&gt;0,0,IF($A27=$U22,$B27,IF($E27=$U22,$D27,0)))</f>
        <v>0</v>
      </c>
      <c r="Z27">
        <f>IF(F27&gt;0,0,IF($A27=$U22,$D27,IF($E27=$U22,$B27,0)))</f>
        <v>0</v>
      </c>
      <c r="AA27">
        <f t="shared" si="33"/>
        <v>0</v>
      </c>
      <c r="AB27">
        <f>IF(AND(F27=0,OR($A27=$AB22,$E27=$AB22)),1,0)</f>
        <v>0</v>
      </c>
      <c r="AC27">
        <f>IF(AND(F27=0,OR(AND($A27=$AB22,$B27&gt;$D27),AND($E27=$AB22,$D27&gt;$B27))),1,0)</f>
        <v>0</v>
      </c>
      <c r="AD27">
        <f t="shared" si="34"/>
        <v>0</v>
      </c>
      <c r="AE27">
        <f>IF(AND(F27=0,OR(AND($A27=$AB22,$B27&lt;$D27),AND($E27=$AB22,$D27&lt;$B27))),1,0)</f>
        <v>0</v>
      </c>
      <c r="AF27">
        <f>IF(F27&gt;0,0,IF($A27=$AB22,$B27,IF($E27=$AB22,$D27,0)))</f>
        <v>0</v>
      </c>
      <c r="AG27">
        <f>IF(F27&gt;0,0,IF($A27=$AB22,$D27,IF($E27=$AB22,$B27,0)))</f>
        <v>0</v>
      </c>
      <c r="AH27">
        <f t="shared" si="35"/>
        <v>0</v>
      </c>
      <c r="AJ27" s="28" t="str">
        <f>AB22</f>
        <v>vítěz utkání 2st-11</v>
      </c>
      <c r="AK27" s="28">
        <f t="shared" ref="AK27:AQ27" si="39">AB30</f>
        <v>0</v>
      </c>
      <c r="AL27" s="28">
        <f t="shared" si="39"/>
        <v>0</v>
      </c>
      <c r="AM27" s="28">
        <f t="shared" si="39"/>
        <v>0</v>
      </c>
      <c r="AN27" s="28">
        <f t="shared" si="39"/>
        <v>0</v>
      </c>
      <c r="AO27" s="28">
        <f t="shared" si="39"/>
        <v>0</v>
      </c>
      <c r="AP27" s="28">
        <f t="shared" si="39"/>
        <v>0</v>
      </c>
      <c r="AQ27" s="28">
        <f t="shared" si="39"/>
        <v>0</v>
      </c>
      <c r="AS27" s="28" t="str">
        <f>IF($AQ27&lt;=$AQ26,$AJ27,$AJ26)</f>
        <v>vítěz utkání 2st-11</v>
      </c>
      <c r="AT27" s="28">
        <f>VLOOKUP(AS27,$AJ24:$AQ27,8,FALSE)</f>
        <v>0</v>
      </c>
      <c r="AU27" s="28" t="str">
        <f>IF($AT27&lt;=$AT25,$AS27,$AS25)</f>
        <v>vítěz utkání 2st-11</v>
      </c>
      <c r="AV27" s="28">
        <f>VLOOKUP(AU27,$AS24:$AT27,2,FALSE)</f>
        <v>0</v>
      </c>
      <c r="AW27" s="28" t="str">
        <f>IF($AV27&lt;=$AV24,$AU27,$AU24)</f>
        <v>vítěz utkání 2st-11</v>
      </c>
      <c r="AX27" s="28">
        <f>VLOOKUP(AW27,$AU24:$AV27,2,FALSE)</f>
        <v>0</v>
      </c>
      <c r="AY27" s="28">
        <f>VLOOKUP(AW27,$AJ24:$AQ27,6,FALSE)</f>
        <v>0</v>
      </c>
      <c r="AZ27" s="28">
        <f>VLOOKUP(AW27,$AJ24:$AQ27,7,FALSE)</f>
        <v>0</v>
      </c>
      <c r="BA27" s="28">
        <f>AY27-AZ27</f>
        <v>0</v>
      </c>
      <c r="BB27" s="28" t="str">
        <f>IF(AND($AX26=$AX27,$BA27&gt;$BA26),$AW26,$AW27)</f>
        <v>vítěz utkání 2st-11</v>
      </c>
      <c r="BC27" s="28">
        <f>VLOOKUP(BB27,$AW24:$BA27,2,FALSE)</f>
        <v>0</v>
      </c>
      <c r="BD27" s="28">
        <f>VLOOKUP(BB27,$AW24:$BA27,5,FALSE)</f>
        <v>0</v>
      </c>
      <c r="BE27" s="28" t="str">
        <f>IF(AND($BC25=$BC27,$BD27&gt;$BD25),$BB25,$BB27)</f>
        <v>vítěz utkání 2st-11</v>
      </c>
      <c r="BF27" s="28">
        <f>VLOOKUP(BE27,$BB24:$BD27,2,FALSE)</f>
        <v>0</v>
      </c>
      <c r="BG27" s="28">
        <f>VLOOKUP(BE27,$BB24:$BD27,3,FALSE)</f>
        <v>0</v>
      </c>
      <c r="BH27" s="28" t="str">
        <f>IF(AND($BF24=$BF27,$BG27&gt;$BG24),$BE24,$BE27)</f>
        <v>vítěz utkání 2st-11</v>
      </c>
      <c r="BI27" s="28">
        <f>VLOOKUP(BH27,$BE24:$BG27,2,FALSE)</f>
        <v>0</v>
      </c>
      <c r="BJ27" s="28">
        <f>VLOOKUP(BH27,$BE24:$BG27,3,FALSE)</f>
        <v>0</v>
      </c>
      <c r="BK27" s="28">
        <f>VLOOKUP(BH27,$AJ24:$AQ27,6,FALSE)</f>
        <v>0</v>
      </c>
      <c r="BL27" s="28" t="str">
        <f>IF(AND($BI26=$BI27,$BJ26=$BJ27,$BK27&gt;$BK26),$BH26,$BH27)</f>
        <v>vítěz utkání 2st-11</v>
      </c>
      <c r="BM27" s="28">
        <f>VLOOKUP(BL27,$BH24:$BK27,2,FALSE)</f>
        <v>0</v>
      </c>
      <c r="BN27" s="28">
        <f>VLOOKUP(BL27,$BH24:$BK27,3,FALSE)</f>
        <v>0</v>
      </c>
      <c r="BO27" s="28">
        <f>VLOOKUP(BL27,$BH24:$BK27,4,FALSE)</f>
        <v>0</v>
      </c>
      <c r="BP27" s="28" t="str">
        <f>IF(AND($BM25=$BM27,$BN25=$BN27,$BO27&gt;$BO25),$BL25,$BL27)</f>
        <v>vítěz utkání 2st-11</v>
      </c>
      <c r="BQ27" s="28">
        <f>VLOOKUP(BP27,$BL24:$BO27,2,FALSE)</f>
        <v>0</v>
      </c>
      <c r="BR27" s="28">
        <f>VLOOKUP(BP27,$BL24:$BO27,3,FALSE)</f>
        <v>0</v>
      </c>
      <c r="BS27" s="28">
        <f>VLOOKUP(BP27,$BL24:$BO27,4,FALSE)</f>
        <v>0</v>
      </c>
      <c r="BT27" s="28" t="str">
        <f>IF(AND($BQ24=$BQ27,$BR24=$BR27,$BS27&gt;$BS24),$BP24,$BP27)</f>
        <v>vítěz utkání 2st-11</v>
      </c>
      <c r="BU27" s="28">
        <f>VLOOKUP(BT27,$BP24:$BS27,2,FALSE)</f>
        <v>0</v>
      </c>
      <c r="BV27" s="28">
        <f>VLOOKUP(BT27,$BP24:$BS27,3,FALSE)</f>
        <v>0</v>
      </c>
      <c r="BW27" s="28">
        <f>VLOOKUP(BT27,$BP24:$BS27,4,FALSE)</f>
        <v>0</v>
      </c>
      <c r="BX27" s="28" t="str">
        <f>BT27</f>
        <v>vítěz utkání 2st-11</v>
      </c>
      <c r="BY27" s="28">
        <f>VLOOKUP($BX27,$AJ24:$AQ27,2,FALSE)</f>
        <v>0</v>
      </c>
      <c r="BZ27" s="28">
        <f>VLOOKUP($BX27,$AJ24:$AQ27,3,FALSE)</f>
        <v>0</v>
      </c>
      <c r="CA27" s="28">
        <f>VLOOKUP($BX27,$AJ24:$AQ27,4,FALSE)</f>
        <v>0</v>
      </c>
      <c r="CB27" s="28">
        <f>VLOOKUP($BX27,$AJ24:$AQ27,5,FALSE)</f>
        <v>0</v>
      </c>
      <c r="CC27" s="28">
        <f>VLOOKUP($BX27,$AJ24:$AQ27,6,FALSE)</f>
        <v>0</v>
      </c>
      <c r="CD27" s="28">
        <f>VLOOKUP($BX27,$AJ24:$AQ27,7,FALSE)</f>
        <v>0</v>
      </c>
      <c r="CE27" s="28">
        <f>VLOOKUP($BX27,$AJ24:$AQ27,8,FALSE)</f>
        <v>0</v>
      </c>
      <c r="CF27" s="128" t="str">
        <f>CONCATENATE(CC27,":",CD27)</f>
        <v>0:0</v>
      </c>
    </row>
    <row r="28" spans="1:84" x14ac:dyDescent="0.2">
      <c r="A28" s="27" t="str">
        <f>'3-zapasy'!D23</f>
        <v>vítěz utkání 2st-11</v>
      </c>
      <c r="B28" s="27" t="str">
        <f>'3-zapasy'!I23</f>
        <v/>
      </c>
      <c r="C28" s="27" t="e">
        <f>'3-zapasy'!#REF!</f>
        <v>#REF!</v>
      </c>
      <c r="D28" s="27" t="str">
        <f>'3-zapasy'!J23</f>
        <v/>
      </c>
      <c r="E28" s="27" t="str">
        <f>'3-zapasy'!E23</f>
        <v>vítěz utkání 2st-14</v>
      </c>
      <c r="F28" s="28">
        <f>COUNTBLANK('3-zapasy'!I23:'3-zapasy'!J23)</f>
        <v>2</v>
      </c>
      <c r="G28" s="28">
        <f>IF(AND(F28=0,OR($A28=$G22,$E28=$G22)),1,0)</f>
        <v>0</v>
      </c>
      <c r="H28" s="28">
        <f>IF(AND(F28=0,OR(AND($A28=$G22,$B28&gt;$D28),AND($E28=$G22,$D28&gt;$B28))),1,0)</f>
        <v>0</v>
      </c>
      <c r="I28" s="28">
        <f t="shared" si="28"/>
        <v>0</v>
      </c>
      <c r="J28" s="28">
        <f>IF(AND(F28=0,OR(AND($A28=$G22,$B28&lt;$D28),AND($E28=$G22,$D28&lt;$B28))),1,0)</f>
        <v>0</v>
      </c>
      <c r="K28" s="28">
        <f>IF(F28&gt;0,0,IF($A28=$G22,$B28,IF($E28=$G22,$D28,0)))</f>
        <v>0</v>
      </c>
      <c r="L28" s="28">
        <f>IF(F28&gt;0,0,IF($A28=$G22,$D28,IF($E28=$G22,$B28,0)))</f>
        <v>0</v>
      </c>
      <c r="M28">
        <f t="shared" si="29"/>
        <v>0</v>
      </c>
      <c r="N28">
        <f>IF(AND(F28=0,OR($A28=$N22,$E28=$N22)),1,0)</f>
        <v>0</v>
      </c>
      <c r="O28">
        <f>IF(AND(F28=0,OR(AND($A28=$N22,$B28&gt;$D28),AND($E28=$N22,$D28&gt;$B28))),1,0)</f>
        <v>0</v>
      </c>
      <c r="P28">
        <f t="shared" si="30"/>
        <v>0</v>
      </c>
      <c r="Q28">
        <f>IF(AND(F28=0,OR(AND($A28=$N22,$B28&lt;$D28),AND($E28=$N22,$D28&lt;$B28))),1,0)</f>
        <v>0</v>
      </c>
      <c r="R28">
        <f>IF(F28&gt;0,0,IF($A28=$N22,$B28,IF($E28=$N22,$D28,0)))</f>
        <v>0</v>
      </c>
      <c r="S28">
        <f>IF(F28&gt;0,0,IF($A28=$N22,$D28,IF($E28=$N22,$B28,0)))</f>
        <v>0</v>
      </c>
      <c r="T28">
        <f t="shared" si="31"/>
        <v>0</v>
      </c>
      <c r="U28">
        <f>IF(AND(F28=0,OR($A28=$U22,$E28=$U22)),1,0)</f>
        <v>0</v>
      </c>
      <c r="V28">
        <f>IF(AND(F28=0,OR(AND($A28=$U22,$B28&gt;$D28),AND($E28=$U22,$D28&gt;$B28))),1,0)</f>
        <v>0</v>
      </c>
      <c r="W28">
        <f t="shared" si="32"/>
        <v>0</v>
      </c>
      <c r="X28">
        <f>IF(AND(F28=0,OR(AND($A28=$U22,$B28&lt;$D28),AND($E28=$U22,$D28&lt;$B28))),1,0)</f>
        <v>0</v>
      </c>
      <c r="Y28">
        <f>IF(F28&gt;0,0,IF($A28=$U22,$B28,IF($E28=$U22,$D28,0)))</f>
        <v>0</v>
      </c>
      <c r="Z28">
        <f>IF(F28&gt;0,0,IF($A28=$U22,$D28,IF($E28=$U22,$B28,0)))</f>
        <v>0</v>
      </c>
      <c r="AA28">
        <f t="shared" si="33"/>
        <v>0</v>
      </c>
      <c r="AB28">
        <f>IF(AND(F28=0,OR($A28=$AB22,$E28=$AB22)),1,0)</f>
        <v>0</v>
      </c>
      <c r="AC28">
        <f>IF(AND(F28=0,OR(AND($A28=$AB22,$B28&gt;$D28),AND($E28=$AB22,$D28&gt;$B28))),1,0)</f>
        <v>0</v>
      </c>
      <c r="AD28">
        <f t="shared" si="34"/>
        <v>0</v>
      </c>
      <c r="AE28">
        <f>IF(AND(F28=0,OR(AND($A28=$AB22,$B28&lt;$D28),AND($E28=$AB22,$D28&lt;$B28))),1,0)</f>
        <v>0</v>
      </c>
      <c r="AF28">
        <f>IF(F28&gt;0,0,IF($A28=$AB22,$B28,IF($E28=$AB22,$D28,0)))</f>
        <v>0</v>
      </c>
      <c r="AG28">
        <f>IF(F28&gt;0,0,IF($A28=$AB22,$D28,IF($E28=$AB22,$B28,0)))</f>
        <v>0</v>
      </c>
      <c r="AH28">
        <f t="shared" si="35"/>
        <v>0</v>
      </c>
    </row>
    <row r="29" spans="1:84" x14ac:dyDescent="0.2">
      <c r="A29" s="27" t="str">
        <f>'3-zapasy'!D24</f>
        <v>vítěz utkání 2st-3</v>
      </c>
      <c r="B29" s="27" t="str">
        <f>'3-zapasy'!I24</f>
        <v/>
      </c>
      <c r="C29" s="27" t="e">
        <f>'3-zapasy'!#REF!</f>
        <v>#REF!</v>
      </c>
      <c r="D29" s="27" t="str">
        <f>'3-zapasy'!J24</f>
        <v/>
      </c>
      <c r="E29" s="27" t="str">
        <f>'3-zapasy'!E24</f>
        <v>vítěz utkání 2st-6</v>
      </c>
      <c r="F29" s="28">
        <f>COUNTBLANK('3-zapasy'!I24:'3-zapasy'!J24)</f>
        <v>2</v>
      </c>
      <c r="G29" s="28">
        <f>IF(AND(F29=0,OR($A29=$G22,$E29=$G22)),1,0)</f>
        <v>0</v>
      </c>
      <c r="H29" s="28">
        <f>IF(AND(F29=0,OR(AND($A29=$G22,$B29&gt;$D29),AND($E29=$G22,$D29&gt;$B29))),1,0)</f>
        <v>0</v>
      </c>
      <c r="I29" s="28">
        <f t="shared" si="28"/>
        <v>0</v>
      </c>
      <c r="J29" s="28">
        <f>IF(AND(F29=0,OR(AND($A29=$G22,$B29&lt;$D29),AND($E29=$G22,$D29&lt;$B29))),1,0)</f>
        <v>0</v>
      </c>
      <c r="K29" s="28">
        <f>IF(F29&gt;0,0,IF($A29=$G22,$B29,IF($E29=$G22,$D29,0)))</f>
        <v>0</v>
      </c>
      <c r="L29" s="28">
        <f>IF(F29&gt;0,0,IF($A29=$G22,$D29,IF($E29=$G22,$B29,0)))</f>
        <v>0</v>
      </c>
      <c r="M29">
        <f t="shared" si="29"/>
        <v>0</v>
      </c>
      <c r="N29">
        <f>IF(AND(F29=0,OR($A29=$N22,$E29=$N22)),1,0)</f>
        <v>0</v>
      </c>
      <c r="O29">
        <f>IF(AND(F29=0,OR(AND($A29=$N22,$B29&gt;$D29),AND($E29=$N22,$D29&gt;$B29))),1,0)</f>
        <v>0</v>
      </c>
      <c r="P29">
        <f t="shared" si="30"/>
        <v>0</v>
      </c>
      <c r="Q29">
        <f>IF(AND(F29=0,OR(AND($A29=$N22,$B29&lt;$D29),AND($E29=$N22,$D29&lt;$B29))),1,0)</f>
        <v>0</v>
      </c>
      <c r="R29">
        <f>IF(F29&gt;0,0,IF($A29=$N22,$B29,IF($E29=$N22,$D29,0)))</f>
        <v>0</v>
      </c>
      <c r="S29">
        <f>IF(F29&gt;0,0,IF($A29=$N22,$D29,IF($E29=$N22,$B29,0)))</f>
        <v>0</v>
      </c>
      <c r="T29">
        <f t="shared" si="31"/>
        <v>0</v>
      </c>
      <c r="U29">
        <f>IF(AND(F29=0,OR($A29=$U22,$E29=$U22)),1,0)</f>
        <v>0</v>
      </c>
      <c r="V29">
        <f>IF(AND(F29=0,OR(AND($A29=$U22,$B29&gt;$D29),AND($E29=$U22,$D29&gt;$B29))),1,0)</f>
        <v>0</v>
      </c>
      <c r="W29">
        <f t="shared" si="32"/>
        <v>0</v>
      </c>
      <c r="X29">
        <f>IF(AND(F29=0,OR(AND($A29=$U22,$B29&lt;$D29),AND($E29=$U22,$D29&lt;$B29))),1,0)</f>
        <v>0</v>
      </c>
      <c r="Y29">
        <f>IF(F29&gt;0,0,IF($A29=$U22,$B29,IF($E29=$U22,$D29,0)))</f>
        <v>0</v>
      </c>
      <c r="Z29">
        <f>IF(F29&gt;0,0,IF($A29=$U22,$D29,IF($E29=$U22,$B29,0)))</f>
        <v>0</v>
      </c>
      <c r="AA29">
        <f t="shared" si="33"/>
        <v>0</v>
      </c>
      <c r="AB29">
        <f>IF(AND(F29=0,OR($A29=$AB22,$E29=$AB22)),1,0)</f>
        <v>0</v>
      </c>
      <c r="AC29">
        <f>IF(AND(F29=0,OR(AND($A29=$AB22,$B29&gt;$D29),AND($E29=$AB22,$D29&gt;$B29))),1,0)</f>
        <v>0</v>
      </c>
      <c r="AD29">
        <f t="shared" si="34"/>
        <v>0</v>
      </c>
      <c r="AE29">
        <f>IF(AND(F29=0,OR(AND($A29=$AB22,$B29&lt;$D29),AND($E29=$AB22,$D29&lt;$B29))),1,0)</f>
        <v>0</v>
      </c>
      <c r="AF29">
        <f>IF(F29&gt;0,0,IF($A29=$AB22,$B29,IF($E29=$AB22,$D29,0)))</f>
        <v>0</v>
      </c>
      <c r="AG29">
        <f>IF(F29&gt;0,0,IF($A29=$AB22,$D29,IF($E29=$AB22,$B29,0)))</f>
        <v>0</v>
      </c>
      <c r="AH29">
        <f t="shared" si="35"/>
        <v>0</v>
      </c>
    </row>
    <row r="30" spans="1:84" x14ac:dyDescent="0.2">
      <c r="G30" s="28">
        <f t="shared" ref="G30:L30" si="40">SUM(G24:G29)</f>
        <v>0</v>
      </c>
      <c r="H30" s="28">
        <f t="shared" si="40"/>
        <v>0</v>
      </c>
      <c r="I30" s="28">
        <f t="shared" si="40"/>
        <v>0</v>
      </c>
      <c r="J30" s="28">
        <f t="shared" si="40"/>
        <v>0</v>
      </c>
      <c r="K30" s="28">
        <f t="shared" si="40"/>
        <v>0</v>
      </c>
      <c r="L30" s="28">
        <f t="shared" si="40"/>
        <v>0</v>
      </c>
      <c r="M30">
        <f t="shared" ref="M30:AH30" si="41">SUM(M24:M29)</f>
        <v>0</v>
      </c>
      <c r="N30">
        <f t="shared" si="41"/>
        <v>0</v>
      </c>
      <c r="O30">
        <f t="shared" si="41"/>
        <v>0</v>
      </c>
      <c r="P30">
        <f t="shared" si="41"/>
        <v>0</v>
      </c>
      <c r="Q30">
        <f t="shared" si="41"/>
        <v>0</v>
      </c>
      <c r="R30">
        <f t="shared" si="41"/>
        <v>0</v>
      </c>
      <c r="S30">
        <f t="shared" si="41"/>
        <v>0</v>
      </c>
      <c r="T30">
        <f t="shared" si="41"/>
        <v>0</v>
      </c>
      <c r="U30">
        <f t="shared" si="41"/>
        <v>0</v>
      </c>
      <c r="V30">
        <f t="shared" si="41"/>
        <v>0</v>
      </c>
      <c r="W30">
        <f t="shared" si="41"/>
        <v>0</v>
      </c>
      <c r="X30">
        <f t="shared" si="41"/>
        <v>0</v>
      </c>
      <c r="Y30">
        <f t="shared" si="41"/>
        <v>0</v>
      </c>
      <c r="Z30">
        <f t="shared" si="41"/>
        <v>0</v>
      </c>
      <c r="AA30">
        <f t="shared" si="41"/>
        <v>0</v>
      </c>
      <c r="AB30">
        <f t="shared" si="41"/>
        <v>0</v>
      </c>
      <c r="AC30">
        <f t="shared" si="41"/>
        <v>0</v>
      </c>
      <c r="AD30">
        <f t="shared" si="41"/>
        <v>0</v>
      </c>
      <c r="AE30">
        <f t="shared" si="41"/>
        <v>0</v>
      </c>
      <c r="AF30">
        <f t="shared" si="41"/>
        <v>0</v>
      </c>
      <c r="AG30">
        <f t="shared" si="41"/>
        <v>0</v>
      </c>
      <c r="AH30">
        <f t="shared" si="41"/>
        <v>0</v>
      </c>
    </row>
    <row r="32" spans="1:84" x14ac:dyDescent="0.2">
      <c r="A32" s="463" t="str">
        <f>'3-zapasy'!A25:D25</f>
        <v>skupina 3D</v>
      </c>
      <c r="B32" s="464"/>
      <c r="C32" s="464"/>
      <c r="D32" s="464"/>
      <c r="E32" s="464"/>
      <c r="F32" s="28" t="s">
        <v>67</v>
      </c>
      <c r="G32" s="465" t="str">
        <f>A34</f>
        <v>vítěz utkání 2st-4</v>
      </c>
      <c r="H32" s="465"/>
      <c r="I32" s="465"/>
      <c r="J32" s="465"/>
      <c r="K32" s="465"/>
      <c r="L32" s="465"/>
      <c r="M32" s="465"/>
      <c r="N32" s="465" t="str">
        <f>E34</f>
        <v>vítěz utkání 2st-13</v>
      </c>
      <c r="O32" s="465"/>
      <c r="P32" s="465"/>
      <c r="Q32" s="465"/>
      <c r="R32" s="465"/>
      <c r="S32" s="465"/>
      <c r="T32" s="465"/>
      <c r="U32" s="465" t="str">
        <f>A35</f>
        <v>vítěz utkání 2st-5</v>
      </c>
      <c r="V32" s="465"/>
      <c r="W32" s="465"/>
      <c r="X32" s="465"/>
      <c r="Y32" s="465"/>
      <c r="Z32" s="465"/>
      <c r="AA32" s="465"/>
      <c r="AB32" s="465" t="str">
        <f>E35</f>
        <v>vítěz utkání 2st-12</v>
      </c>
      <c r="AC32" s="465"/>
      <c r="AD32" s="465"/>
      <c r="AE32" s="465"/>
      <c r="AF32" s="465"/>
      <c r="AG32" s="465"/>
      <c r="AH32" s="465"/>
      <c r="AJ32" s="465" t="s">
        <v>68</v>
      </c>
      <c r="AK32" s="465"/>
      <c r="AL32" s="465"/>
      <c r="AM32" s="465"/>
      <c r="AN32" s="465"/>
      <c r="AO32" s="465"/>
      <c r="AP32" s="465"/>
      <c r="AQ32" s="465"/>
      <c r="BX32" s="28" t="s">
        <v>69</v>
      </c>
    </row>
    <row r="33" spans="1:84" x14ac:dyDescent="0.2">
      <c r="A33" s="464"/>
      <c r="B33" s="464"/>
      <c r="C33" s="464"/>
      <c r="D33" s="464"/>
      <c r="E33" s="464"/>
      <c r="F33" s="28" t="s">
        <v>70</v>
      </c>
      <c r="G33" s="28" t="s">
        <v>71</v>
      </c>
      <c r="H33" s="28" t="s">
        <v>72</v>
      </c>
      <c r="I33" s="28" t="s">
        <v>73</v>
      </c>
      <c r="J33" s="28" t="s">
        <v>74</v>
      </c>
      <c r="K33" s="28" t="s">
        <v>75</v>
      </c>
      <c r="L33" s="28" t="s">
        <v>76</v>
      </c>
      <c r="M33" s="28" t="s">
        <v>77</v>
      </c>
      <c r="N33" s="28" t="s">
        <v>71</v>
      </c>
      <c r="O33" s="28" t="s">
        <v>72</v>
      </c>
      <c r="P33" s="28" t="s">
        <v>73</v>
      </c>
      <c r="Q33" s="28" t="s">
        <v>74</v>
      </c>
      <c r="R33" s="28" t="s">
        <v>75</v>
      </c>
      <c r="S33" s="28" t="s">
        <v>76</v>
      </c>
      <c r="T33" s="28" t="s">
        <v>77</v>
      </c>
      <c r="U33" s="28" t="s">
        <v>71</v>
      </c>
      <c r="V33" s="28" t="s">
        <v>72</v>
      </c>
      <c r="W33" s="28" t="s">
        <v>73</v>
      </c>
      <c r="X33" s="28" t="s">
        <v>74</v>
      </c>
      <c r="Y33" s="28" t="s">
        <v>75</v>
      </c>
      <c r="Z33" s="28" t="s">
        <v>76</v>
      </c>
      <c r="AA33" s="28" t="s">
        <v>77</v>
      </c>
      <c r="AB33" s="28" t="s">
        <v>71</v>
      </c>
      <c r="AC33" s="28" t="s">
        <v>72</v>
      </c>
      <c r="AD33" s="28" t="s">
        <v>73</v>
      </c>
      <c r="AE33" s="28" t="s">
        <v>74</v>
      </c>
      <c r="AF33" s="28" t="s">
        <v>75</v>
      </c>
      <c r="AG33" s="28" t="s">
        <v>76</v>
      </c>
      <c r="AH33" s="28" t="s">
        <v>77</v>
      </c>
      <c r="AK33" s="28" t="s">
        <v>71</v>
      </c>
      <c r="AL33" s="28" t="s">
        <v>72</v>
      </c>
      <c r="AM33" s="28" t="s">
        <v>73</v>
      </c>
      <c r="AN33" s="28" t="s">
        <v>74</v>
      </c>
      <c r="AO33" s="28" t="s">
        <v>75</v>
      </c>
      <c r="AP33" s="28" t="s">
        <v>76</v>
      </c>
      <c r="AQ33" s="28" t="s">
        <v>77</v>
      </c>
      <c r="AS33" s="28" t="s">
        <v>78</v>
      </c>
      <c r="AU33" s="28" t="s">
        <v>79</v>
      </c>
      <c r="AW33" s="28" t="s">
        <v>80</v>
      </c>
      <c r="AY33" s="28" t="s">
        <v>81</v>
      </c>
      <c r="BB33" s="28" t="s">
        <v>82</v>
      </c>
      <c r="BE33" s="28" t="s">
        <v>83</v>
      </c>
      <c r="BH33" s="28" t="s">
        <v>84</v>
      </c>
      <c r="BK33" s="28" t="s">
        <v>85</v>
      </c>
      <c r="BL33" s="28" t="s">
        <v>86</v>
      </c>
      <c r="BP33" s="28" t="s">
        <v>87</v>
      </c>
      <c r="BT33" s="28" t="s">
        <v>88</v>
      </c>
      <c r="BY33" s="28" t="s">
        <v>65</v>
      </c>
      <c r="BZ33" s="28" t="s">
        <v>89</v>
      </c>
      <c r="CA33" s="28" t="s">
        <v>58</v>
      </c>
      <c r="CB33" s="28" t="s">
        <v>90</v>
      </c>
      <c r="CC33" s="28" t="s">
        <v>51</v>
      </c>
      <c r="CD33" s="28" t="s">
        <v>53</v>
      </c>
      <c r="CE33" s="28" t="s">
        <v>91</v>
      </c>
    </row>
    <row r="34" spans="1:84" x14ac:dyDescent="0.2">
      <c r="A34" s="27" t="str">
        <f>'3-zapasy'!D27</f>
        <v>vítěz utkání 2st-4</v>
      </c>
      <c r="B34" s="27" t="str">
        <f>'3-zapasy'!I27</f>
        <v/>
      </c>
      <c r="C34" s="27" t="e">
        <f>'3-zapasy'!#REF!</f>
        <v>#REF!</v>
      </c>
      <c r="D34" s="27" t="str">
        <f>'3-zapasy'!J27</f>
        <v/>
      </c>
      <c r="E34" s="27" t="str">
        <f>'3-zapasy'!E27</f>
        <v>vítěz utkání 2st-13</v>
      </c>
      <c r="F34" s="28">
        <f>COUNTBLANK('3-zapasy'!I27:'3-zapasy'!J27)</f>
        <v>2</v>
      </c>
      <c r="G34" s="28">
        <f>IF(AND(F34=0,OR($A34=$G32,$E34=$G32)),1,0)</f>
        <v>0</v>
      </c>
      <c r="H34" s="28">
        <f>IF(AND(F34=0,OR(AND($A34=$G32,$B34&gt;$D34),AND($E34=$G32,$D34&gt;$B34))),1,0)</f>
        <v>0</v>
      </c>
      <c r="I34" s="28">
        <f t="shared" ref="I34:I39" si="42">IF(AND(F34=0,G34=1,$B34=$D34),1,0)</f>
        <v>0</v>
      </c>
      <c r="J34" s="28">
        <f>IF(AND(F34=0,OR(AND($A34=$G32,$B34&lt;$D34),AND($E34=$G32,$D34&lt;$B34))),1,0)</f>
        <v>0</v>
      </c>
      <c r="K34" s="28">
        <f>IF(F34&gt;0,0,IF($A34=$G32,$B34,IF($E34=$G32,$D34,0)))</f>
        <v>0</v>
      </c>
      <c r="L34" s="28">
        <f>IF(F34&gt;0,0,IF($A34=$G32,$D34,IF($E34=$G32,$B34,0)))</f>
        <v>0</v>
      </c>
      <c r="M34">
        <f t="shared" ref="M34:M39" si="43">(($H34*$B$10)+$I34)</f>
        <v>0</v>
      </c>
      <c r="N34">
        <f>IF(AND(F34=0,OR($A34=$N32,$E34=$N32)),1,0)</f>
        <v>0</v>
      </c>
      <c r="O34">
        <f>IF(AND(F34=0,OR(AND($A34=$N32,$B34&gt;$D34),AND($E34=$N32,$D34&gt;$B34))),1,0)</f>
        <v>0</v>
      </c>
      <c r="P34">
        <f t="shared" ref="P34:P39" si="44">IF(AND(F34=0,N34=1,$B34=$D34),1,0)</f>
        <v>0</v>
      </c>
      <c r="Q34">
        <f>IF(AND(F34=0,OR(AND($A34=$N32,$B34&lt;$D34),AND($E34=$N32,$D34&lt;$B34))),1,0)</f>
        <v>0</v>
      </c>
      <c r="R34">
        <f>IF(F34&gt;0,0,IF($A34=$N32,$B34,IF($E34=$N32,$D34,0)))</f>
        <v>0</v>
      </c>
      <c r="S34">
        <f>IF(F34&gt;0,0,IF($A34=$N32,$D34,IF($E34=$N32,$B34,0)))</f>
        <v>0</v>
      </c>
      <c r="T34">
        <f t="shared" ref="T34:T39" si="45">(($O34*$B$10)+$P34)</f>
        <v>0</v>
      </c>
      <c r="U34">
        <f>IF(AND(F34=0,OR($A34=$U32,$E34=$U32)),1,0)</f>
        <v>0</v>
      </c>
      <c r="V34">
        <f>IF(AND(F34=0,OR(AND($A34=$U32,$B34&gt;$D34),AND($E34=$U32,$D34&gt;$B34))),1,0)</f>
        <v>0</v>
      </c>
      <c r="W34">
        <f t="shared" ref="W34:W39" si="46">IF(AND(F34=0,U34=1,$B34=$D34),1,0)</f>
        <v>0</v>
      </c>
      <c r="X34">
        <f>IF(AND(F34=0,OR(AND($A34=$U32,$B34&lt;$D34),AND($E34=$U32,$D34&lt;$B34))),1,0)</f>
        <v>0</v>
      </c>
      <c r="Y34">
        <f>IF(F34&gt;0,0,IF($A34=$U32,$B34,IF($E34=$U32,$D34,0)))</f>
        <v>0</v>
      </c>
      <c r="Z34">
        <f>IF(F34&gt;0,0,IF($A34=$U32,$D34,IF($E34=$U32,$B34,0)))</f>
        <v>0</v>
      </c>
      <c r="AA34">
        <f t="shared" ref="AA34:AA39" si="47">(($V34*$B$10)+$W34)</f>
        <v>0</v>
      </c>
      <c r="AB34">
        <f>IF(AND(F34=0,OR($A34=$AB32,$E34=$AB32)),1,0)</f>
        <v>0</v>
      </c>
      <c r="AC34">
        <f>IF(AND(F34=0,OR(AND($A34=$AB32,$B34&gt;$D34),AND($E34=$AB32,$D34&gt;$B34))),1,0)</f>
        <v>0</v>
      </c>
      <c r="AD34">
        <f t="shared" ref="AD34:AD39" si="48">IF(AND(F34=0,AB34=1,$B34=$D34),1,0)</f>
        <v>0</v>
      </c>
      <c r="AE34">
        <f>IF(AND(F34=0,OR(AND($A34=$AB32,$B34&lt;$D34),AND($E34=$AB32,$D34&lt;$B34))),1,0)</f>
        <v>0</v>
      </c>
      <c r="AF34">
        <f>IF(F34&gt;0,0,IF($A34=$AB32,$B34,IF($E34=$AB32,$D34,0)))</f>
        <v>0</v>
      </c>
      <c r="AG34">
        <f>IF(F34&gt;0,0,IF($A34=$AB32,$D34,IF($E34=$AB32,$B34,0)))</f>
        <v>0</v>
      </c>
      <c r="AH34">
        <f t="shared" ref="AH34:AH39" si="49">(($AC34*$B$10)+$AD34)</f>
        <v>0</v>
      </c>
      <c r="AJ34" s="28" t="str">
        <f>G32</f>
        <v>vítěz utkání 2st-4</v>
      </c>
      <c r="AK34" s="28">
        <f t="shared" ref="AK34:AQ34" si="50">G40</f>
        <v>0</v>
      </c>
      <c r="AL34" s="28">
        <f t="shared" si="50"/>
        <v>0</v>
      </c>
      <c r="AM34" s="28">
        <f t="shared" si="50"/>
        <v>0</v>
      </c>
      <c r="AN34" s="28">
        <f t="shared" si="50"/>
        <v>0</v>
      </c>
      <c r="AO34" s="28">
        <f t="shared" si="50"/>
        <v>0</v>
      </c>
      <c r="AP34" s="28">
        <f t="shared" si="50"/>
        <v>0</v>
      </c>
      <c r="AQ34" s="28">
        <f t="shared" si="50"/>
        <v>0</v>
      </c>
      <c r="AS34" s="28" t="str">
        <f>IF($AQ34&gt;=$AQ35,$AJ34,$AJ35)</f>
        <v>vítěz utkání 2st-4</v>
      </c>
      <c r="AT34" s="28">
        <f>VLOOKUP(AS34,$AJ34:$AQ37,8,FALSE)</f>
        <v>0</v>
      </c>
      <c r="AU34" s="28" t="str">
        <f>IF($AT34&gt;=$AT36,$AS34,$AS36)</f>
        <v>vítěz utkání 2st-4</v>
      </c>
      <c r="AV34" s="28">
        <f>VLOOKUP(AU34,$AS34:$AT37,2,FALSE)</f>
        <v>0</v>
      </c>
      <c r="AW34" s="28" t="str">
        <f>IF($AV34&gt;=$AV37,$AU34,$AU37)</f>
        <v>vítěz utkání 2st-4</v>
      </c>
      <c r="AX34" s="28">
        <f>VLOOKUP(AW34,$AU34:$AV37,2,FALSE)</f>
        <v>0</v>
      </c>
      <c r="AY34" s="28">
        <f>VLOOKUP(AW34,$AJ34:$AQ37,6,FALSE)</f>
        <v>0</v>
      </c>
      <c r="AZ34" s="28">
        <f>VLOOKUP(AW34,$AJ34:$AQ37,7,FALSE)</f>
        <v>0</v>
      </c>
      <c r="BA34" s="28">
        <f>AY34-AZ34</f>
        <v>0</v>
      </c>
      <c r="BB34" s="28" t="str">
        <f>IF(AND($AX34=$AX35,$BA35&gt;$BA34),$AW35,$AW34)</f>
        <v>vítěz utkání 2st-4</v>
      </c>
      <c r="BC34" s="28">
        <f>VLOOKUP(BB34,$AW34:$BA37,2,FALSE)</f>
        <v>0</v>
      </c>
      <c r="BD34" s="28">
        <f>VLOOKUP(BB34,$AW34:$BA37,5,FALSE)</f>
        <v>0</v>
      </c>
      <c r="BE34" s="28" t="str">
        <f>IF(AND($BC34=$BC36,$BD36&gt;$BD34),$BB36,$BB34)</f>
        <v>vítěz utkání 2st-4</v>
      </c>
      <c r="BF34" s="28">
        <f>VLOOKUP(BE34,$BB34:$BD37,2,FALSE)</f>
        <v>0</v>
      </c>
      <c r="BG34" s="28">
        <f>VLOOKUP(BE34,$BB34:$BD37,3,FALSE)</f>
        <v>0</v>
      </c>
      <c r="BH34" s="28" t="str">
        <f>IF(AND($BF34=$BF37,$BG37&gt;$BG34),$BE37,$BE34)</f>
        <v>vítěz utkání 2st-4</v>
      </c>
      <c r="BI34" s="28">
        <f>VLOOKUP(BH34,$BE34:$BG37,2,FALSE)</f>
        <v>0</v>
      </c>
      <c r="BJ34" s="28">
        <f>VLOOKUP(BH34,$BE34:$BG37,3,FALSE)</f>
        <v>0</v>
      </c>
      <c r="BK34" s="28">
        <f>VLOOKUP(BH34,$AJ34:$AQ37,6,FALSE)</f>
        <v>0</v>
      </c>
      <c r="BL34" s="28" t="str">
        <f>IF(AND($BI34=$BI35,$BJ34=$BJ35,$BK35&gt;$BK34),$BH35,$BH34)</f>
        <v>vítěz utkání 2st-4</v>
      </c>
      <c r="BM34" s="28">
        <f>VLOOKUP(BL34,$BH34:$BK37,2,FALSE)</f>
        <v>0</v>
      </c>
      <c r="BN34" s="28">
        <f>VLOOKUP(BL34,$BH34:$BK37,3,FALSE)</f>
        <v>0</v>
      </c>
      <c r="BO34" s="28">
        <f>VLOOKUP(BL34,$BH34:$BK37,4,FALSE)</f>
        <v>0</v>
      </c>
      <c r="BP34" s="28" t="str">
        <f>IF(AND($BM34=$BM36,$BN34=$BN36,$BO36&gt;$BO34),$BL36,$BL34)</f>
        <v>vítěz utkání 2st-4</v>
      </c>
      <c r="BQ34" s="28">
        <f>VLOOKUP(BP34,$BL34:$BO37,2,FALSE)</f>
        <v>0</v>
      </c>
      <c r="BR34" s="28">
        <f>VLOOKUP(BP34,$BL34:$BO37,3,FALSE)</f>
        <v>0</v>
      </c>
      <c r="BS34" s="28">
        <f>VLOOKUP(BP34,$BL34:$BO37,4,FALSE)</f>
        <v>0</v>
      </c>
      <c r="BT34" s="28" t="str">
        <f>IF(AND($BQ34=$BQ37,$BR34=$BR37,$BS37&gt;$BS34),$BP37,$BP34)</f>
        <v>vítěz utkání 2st-4</v>
      </c>
      <c r="BU34" s="28">
        <f>VLOOKUP(BT34,$BP34:$BS37,2,FALSE)</f>
        <v>0</v>
      </c>
      <c r="BV34" s="28">
        <f>VLOOKUP(BT34,$BP34:$BS37,3,FALSE)</f>
        <v>0</v>
      </c>
      <c r="BW34" s="28">
        <f>VLOOKUP(BT34,$BP34:$BS37,4,FALSE)</f>
        <v>0</v>
      </c>
      <c r="BX34" s="28" t="str">
        <f>BT34</f>
        <v>vítěz utkání 2st-4</v>
      </c>
      <c r="BY34" s="28">
        <f>VLOOKUP($BX34,$AJ34:$AQ37,2,FALSE)</f>
        <v>0</v>
      </c>
      <c r="BZ34" s="28">
        <f>VLOOKUP($BX34,$AJ34:$AQ37,3,FALSE)</f>
        <v>0</v>
      </c>
      <c r="CA34" s="28">
        <f>VLOOKUP($BX34,$AJ34:$AQ37,4,FALSE)</f>
        <v>0</v>
      </c>
      <c r="CB34" s="28">
        <f>VLOOKUP($BX34,$AJ34:$AQ37,5,FALSE)</f>
        <v>0</v>
      </c>
      <c r="CC34" s="28">
        <f>VLOOKUP($BX34,$AJ34:$AQ37,6,FALSE)</f>
        <v>0</v>
      </c>
      <c r="CD34" s="28">
        <f>VLOOKUP($BX34,$AJ34:$AQ37,7,FALSE)</f>
        <v>0</v>
      </c>
      <c r="CE34" s="28">
        <f>VLOOKUP($BX34,$AJ34:$AQ37,8,FALSE)</f>
        <v>0</v>
      </c>
      <c r="CF34" s="128" t="str">
        <f>CONCATENATE(CC34,":",CD34)</f>
        <v>0:0</v>
      </c>
    </row>
    <row r="35" spans="1:84" x14ac:dyDescent="0.2">
      <c r="A35" s="27" t="str">
        <f>'3-zapasy'!D28</f>
        <v>vítěz utkání 2st-5</v>
      </c>
      <c r="B35" s="27" t="str">
        <f>'3-zapasy'!I28</f>
        <v/>
      </c>
      <c r="C35" s="27" t="e">
        <f>'3-zapasy'!#REF!</f>
        <v>#REF!</v>
      </c>
      <c r="D35" s="27" t="str">
        <f>'3-zapasy'!J28</f>
        <v/>
      </c>
      <c r="E35" s="27" t="str">
        <f>'3-zapasy'!E28</f>
        <v>vítěz utkání 2st-12</v>
      </c>
      <c r="F35" s="28">
        <f>COUNTBLANK('3-zapasy'!I28:'3-zapasy'!J28)</f>
        <v>2</v>
      </c>
      <c r="G35" s="28">
        <f>IF(AND(F35=0,OR($A35=$G32,$E35=$G32)),1,0)</f>
        <v>0</v>
      </c>
      <c r="H35" s="28">
        <f>IF(AND(F35=0,OR(AND($A35=$G32,$B35&gt;$D35),AND($E35=$G32,$D35&gt;$B35))),1,0)</f>
        <v>0</v>
      </c>
      <c r="I35" s="28">
        <f t="shared" si="42"/>
        <v>0</v>
      </c>
      <c r="J35" s="28">
        <f>IF(AND(F35=0,OR(AND($A35=$G32,$B35&lt;$D35),AND($E35=$G32,$D35&lt;$B35))),1,0)</f>
        <v>0</v>
      </c>
      <c r="K35" s="28">
        <f>IF(F35&gt;0,0,IF($A35=$G32,$B35,IF($E35=$G32,$D35,0)))</f>
        <v>0</v>
      </c>
      <c r="L35" s="28">
        <f>IF(F35&gt;0,0,IF($A35=$G32,$D35,IF($E35=$G32,$B35,0)))</f>
        <v>0</v>
      </c>
      <c r="M35">
        <f t="shared" si="43"/>
        <v>0</v>
      </c>
      <c r="N35">
        <f>IF(AND(F35=0,OR($A35=$N32,$E35=$N32)),1,0)</f>
        <v>0</v>
      </c>
      <c r="O35">
        <f>IF(AND(F35=0,OR(AND($A35=$N32,$B35&gt;$D35),AND($E35=$N32,$D35&gt;$B35))),1,0)</f>
        <v>0</v>
      </c>
      <c r="P35">
        <f t="shared" si="44"/>
        <v>0</v>
      </c>
      <c r="Q35">
        <f>IF(AND(F35=0,OR(AND($A35=$N32,$B35&lt;$D35),AND($E35=$N32,$D35&lt;$B35))),1,0)</f>
        <v>0</v>
      </c>
      <c r="R35">
        <f>IF(F35&gt;0,0,IF($A35=$N32,$B35,IF($E35=$N32,$D35,0)))</f>
        <v>0</v>
      </c>
      <c r="S35">
        <f>IF(F35&gt;0,0,IF($A35=$N32,$D35,IF($E35=$N32,$B35,0)))</f>
        <v>0</v>
      </c>
      <c r="T35">
        <f t="shared" si="45"/>
        <v>0</v>
      </c>
      <c r="U35">
        <f>IF(AND(F35=0,OR($A35=$U32,$E35=$U32)),1,0)</f>
        <v>0</v>
      </c>
      <c r="V35">
        <f>IF(AND(F35=0,OR(AND($A35=$U32,$B35&gt;$D35),AND($E35=$U32,$D35&gt;$B35))),1,0)</f>
        <v>0</v>
      </c>
      <c r="W35">
        <f t="shared" si="46"/>
        <v>0</v>
      </c>
      <c r="X35">
        <f>IF(AND(F35=0,OR(AND($A35=$U32,$B35&lt;$D35),AND($E35=$U32,$D35&lt;$B35))),1,0)</f>
        <v>0</v>
      </c>
      <c r="Y35">
        <f>IF(F35&gt;0,0,IF($A35=$U32,$B35,IF($E35=$U32,$D35,0)))</f>
        <v>0</v>
      </c>
      <c r="Z35">
        <f>IF(F35&gt;0,0,IF($A35=$U32,$D35,IF($E35=$U32,$B35,0)))</f>
        <v>0</v>
      </c>
      <c r="AA35">
        <f t="shared" si="47"/>
        <v>0</v>
      </c>
      <c r="AB35">
        <f>IF(AND(F35=0,OR($A35=$AB32,$E35=$AB32)),1,0)</f>
        <v>0</v>
      </c>
      <c r="AC35">
        <f>IF(AND(F35=0,OR(AND($A35=$AB32,$B35&gt;$D35),AND($E35=$AB32,$D35&gt;$B35))),1,0)</f>
        <v>0</v>
      </c>
      <c r="AD35">
        <f t="shared" si="48"/>
        <v>0</v>
      </c>
      <c r="AE35">
        <f>IF(AND(F35=0,OR(AND($A35=$AB32,$B35&lt;$D35),AND($E35=$AB32,$D35&lt;$B35))),1,0)</f>
        <v>0</v>
      </c>
      <c r="AF35">
        <f>IF(F35&gt;0,0,IF($A35=$AB32,$B35,IF($E35=$AB32,$D35,0)))</f>
        <v>0</v>
      </c>
      <c r="AG35">
        <f>IF(F35&gt;0,0,IF($A35=$AB32,$D35,IF($E35=$AB32,$B35,0)))</f>
        <v>0</v>
      </c>
      <c r="AH35">
        <f t="shared" si="49"/>
        <v>0</v>
      </c>
      <c r="AJ35" s="28" t="str">
        <f>N32</f>
        <v>vítěz utkání 2st-13</v>
      </c>
      <c r="AK35" s="28">
        <f t="shared" ref="AK35:AQ35" si="51">N40</f>
        <v>0</v>
      </c>
      <c r="AL35" s="28">
        <f t="shared" si="51"/>
        <v>0</v>
      </c>
      <c r="AM35" s="28">
        <f t="shared" si="51"/>
        <v>0</v>
      </c>
      <c r="AN35" s="28">
        <f t="shared" si="51"/>
        <v>0</v>
      </c>
      <c r="AO35" s="28">
        <f t="shared" si="51"/>
        <v>0</v>
      </c>
      <c r="AP35" s="28">
        <f t="shared" si="51"/>
        <v>0</v>
      </c>
      <c r="AQ35" s="28">
        <f t="shared" si="51"/>
        <v>0</v>
      </c>
      <c r="AS35" s="28" t="str">
        <f>IF($AQ35&lt;=$AQ34,$AJ35,$AJ34)</f>
        <v>vítěz utkání 2st-13</v>
      </c>
      <c r="AT35" s="28">
        <f>VLOOKUP(AS35,$AJ34:$AQ37,8,FALSE)</f>
        <v>0</v>
      </c>
      <c r="AU35" s="28" t="str">
        <f>IF($AT35&gt;=$AT37,$AS35,$AS37)</f>
        <v>vítěz utkání 2st-13</v>
      </c>
      <c r="AV35" s="28">
        <f>VLOOKUP(AU35,$AS34:$AT37,2,FALSE)</f>
        <v>0</v>
      </c>
      <c r="AW35" s="28" t="str">
        <f>IF($AV35&gt;=$AV36,$AU35,$AU36)</f>
        <v>vítěz utkání 2st-13</v>
      </c>
      <c r="AX35" s="28">
        <f>VLOOKUP(AW35,$AU34:$AV37,2,FALSE)</f>
        <v>0</v>
      </c>
      <c r="AY35" s="28">
        <f>VLOOKUP(AW35,$AJ34:$AQ37,6,FALSE)</f>
        <v>0</v>
      </c>
      <c r="AZ35" s="28">
        <f>VLOOKUP(AW35,$AJ34:$AQ37,7,FALSE)</f>
        <v>0</v>
      </c>
      <c r="BA35" s="28">
        <f>AY35-AZ35</f>
        <v>0</v>
      </c>
      <c r="BB35" s="28" t="str">
        <f>IF(AND($AX34=$AX35,$BA35&gt;$BA34),$AW34,$AW35)</f>
        <v>vítěz utkání 2st-13</v>
      </c>
      <c r="BC35" s="28">
        <f>VLOOKUP(BB35,$AW34:$BA37,2,FALSE)</f>
        <v>0</v>
      </c>
      <c r="BD35" s="28">
        <f>VLOOKUP(BB35,$AW34:$BA37,5,FALSE)</f>
        <v>0</v>
      </c>
      <c r="BE35" s="28" t="str">
        <f>IF(AND($BC35=$BC37,$BD37&gt;$BD35),$BB37,$BB35)</f>
        <v>vítěz utkání 2st-13</v>
      </c>
      <c r="BF35" s="28">
        <f>VLOOKUP(BE35,$BB34:$BD37,2,FALSE)</f>
        <v>0</v>
      </c>
      <c r="BG35" s="28">
        <f>VLOOKUP(BE35,$BB34:$BD37,3,FALSE)</f>
        <v>0</v>
      </c>
      <c r="BH35" s="28" t="str">
        <f>IF(AND($BF35=$BF36,$BG36&gt;$BG35),$BE36,$BE35)</f>
        <v>vítěz utkání 2st-13</v>
      </c>
      <c r="BI35" s="28">
        <f>VLOOKUP(BH35,$BE34:$BG37,2,FALSE)</f>
        <v>0</v>
      </c>
      <c r="BJ35" s="28">
        <f>VLOOKUP(BH35,$BE34:$BG37,3,FALSE)</f>
        <v>0</v>
      </c>
      <c r="BK35" s="28">
        <f>VLOOKUP(BH35,$AJ34:$AQ37,6,FALSE)</f>
        <v>0</v>
      </c>
      <c r="BL35" s="28" t="str">
        <f>IF(AND($BI34=$BI35,$BJ34=$BJ35,$BK35&gt;$BK34),$BH34,$BH35)</f>
        <v>vítěz utkání 2st-13</v>
      </c>
      <c r="BM35" s="28">
        <f>VLOOKUP(BL35,$BH34:$BK37,2,FALSE)</f>
        <v>0</v>
      </c>
      <c r="BN35" s="28">
        <f>VLOOKUP(BL35,$BH34:$BK37,3,FALSE)</f>
        <v>0</v>
      </c>
      <c r="BO35" s="28">
        <f>VLOOKUP(BL35,$BH34:$BK37,4,FALSE)</f>
        <v>0</v>
      </c>
      <c r="BP35" s="28" t="str">
        <f>IF(AND($BM35=$BM37,$BN35=$BN37,$BO37&gt;$BO35),$BL37,$BL35)</f>
        <v>vítěz utkání 2st-13</v>
      </c>
      <c r="BQ35" s="28">
        <f>VLOOKUP(BP35,$BL34:$BO37,2,FALSE)</f>
        <v>0</v>
      </c>
      <c r="BR35" s="28">
        <f>VLOOKUP(BP35,$BL34:$BO37,3,FALSE)</f>
        <v>0</v>
      </c>
      <c r="BS35" s="28">
        <f>VLOOKUP(BP35,$BL34:$BO37,4,FALSE)</f>
        <v>0</v>
      </c>
      <c r="BT35" s="28" t="str">
        <f>IF(AND($BQ35=$BQ36,$BR35=$BR36,$BS36&gt;$BS35),$BP36,$BP35)</f>
        <v>vítěz utkání 2st-13</v>
      </c>
      <c r="BU35" s="28">
        <f>VLOOKUP(BT35,$BP34:$BS37,2,FALSE)</f>
        <v>0</v>
      </c>
      <c r="BV35" s="28">
        <f>VLOOKUP(BT35,$BP34:$BS37,3,FALSE)</f>
        <v>0</v>
      </c>
      <c r="BW35" s="28">
        <f>VLOOKUP(BT35,$BP34:$BS37,4,FALSE)</f>
        <v>0</v>
      </c>
      <c r="BX35" s="28" t="str">
        <f>BT35</f>
        <v>vítěz utkání 2st-13</v>
      </c>
      <c r="BY35" s="28">
        <f>VLOOKUP($BX35,$AJ34:$AQ37,2,FALSE)</f>
        <v>0</v>
      </c>
      <c r="BZ35" s="28">
        <f>VLOOKUP($BX35,$AJ34:$AQ37,3,FALSE)</f>
        <v>0</v>
      </c>
      <c r="CA35" s="28">
        <f>VLOOKUP($BX35,$AJ34:$AQ37,4,FALSE)</f>
        <v>0</v>
      </c>
      <c r="CB35" s="28">
        <f>VLOOKUP($BX35,$AJ34:$AQ37,5,FALSE)</f>
        <v>0</v>
      </c>
      <c r="CC35" s="28">
        <f>VLOOKUP($BX35,$AJ34:$AQ37,6,FALSE)</f>
        <v>0</v>
      </c>
      <c r="CD35" s="28">
        <f>VLOOKUP($BX35,$AJ34:$AQ37,7,FALSE)</f>
        <v>0</v>
      </c>
      <c r="CE35" s="28">
        <f>VLOOKUP($BX35,$AJ34:$AQ37,8,FALSE)</f>
        <v>0</v>
      </c>
      <c r="CF35" s="128" t="str">
        <f>CONCATENATE(CC35,":",CD35)</f>
        <v>0:0</v>
      </c>
    </row>
    <row r="36" spans="1:84" x14ac:dyDescent="0.2">
      <c r="A36" s="27" t="str">
        <f>'3-zapasy'!D29</f>
        <v>vítěz utkání 2st-13</v>
      </c>
      <c r="B36" s="27" t="str">
        <f>'3-zapasy'!I29</f>
        <v/>
      </c>
      <c r="C36" s="27" t="e">
        <f>'3-zapasy'!#REF!</f>
        <v>#REF!</v>
      </c>
      <c r="D36" s="27" t="str">
        <f>'3-zapasy'!J29</f>
        <v/>
      </c>
      <c r="E36" s="27" t="str">
        <f>'3-zapasy'!E29</f>
        <v>vítěz utkání 2st-5</v>
      </c>
      <c r="F36" s="28">
        <f>COUNTBLANK('3-zapasy'!I29:'3-zapasy'!J29)</f>
        <v>2</v>
      </c>
      <c r="G36" s="28">
        <f>IF(AND(F36=0,OR($A36=$G32,$E36=$G32)),1,0)</f>
        <v>0</v>
      </c>
      <c r="H36" s="28">
        <f>IF(AND(F36=0,OR(AND($A36=$G32,$B36&gt;$D36),AND($E36=$G32,$D36&gt;$B36))),1,0)</f>
        <v>0</v>
      </c>
      <c r="I36" s="28">
        <f t="shared" si="42"/>
        <v>0</v>
      </c>
      <c r="J36" s="28">
        <f>IF(AND(F36=0,OR(AND($A36=$G32,$B36&lt;$D36),AND($E36=$G32,$D36&lt;$B36))),1,0)</f>
        <v>0</v>
      </c>
      <c r="K36" s="28">
        <f>IF(F36&gt;0,0,IF($A36=$G32,$B36,IF($E36=$G32,$D36,0)))</f>
        <v>0</v>
      </c>
      <c r="L36" s="28">
        <f>IF(F36&gt;0,0,IF($A36=$G32,$D36,IF($E36=$G32,$B36,0)))</f>
        <v>0</v>
      </c>
      <c r="M36">
        <f t="shared" si="43"/>
        <v>0</v>
      </c>
      <c r="N36">
        <f>IF(AND(F36=0,OR($A36=$N32,$E36=$N32)),1,0)</f>
        <v>0</v>
      </c>
      <c r="O36">
        <f>IF(AND(F36=0,OR(AND($A36=$N32,$B36&gt;$D36),AND($E36=$N32,$D36&gt;$B36))),1,0)</f>
        <v>0</v>
      </c>
      <c r="P36">
        <f t="shared" si="44"/>
        <v>0</v>
      </c>
      <c r="Q36">
        <f>IF(AND(F36=0,OR(AND($A36=$N32,$B36&lt;$D36),AND($E36=$N32,$D36&lt;$B36))),1,0)</f>
        <v>0</v>
      </c>
      <c r="R36">
        <f>IF(F36&gt;0,0,IF($A36=$N32,$B36,IF($E36=$N32,$D36,0)))</f>
        <v>0</v>
      </c>
      <c r="S36">
        <f>IF(F36&gt;0,0,IF($A36=$N32,$D36,IF($E36=$N32,$B36,0)))</f>
        <v>0</v>
      </c>
      <c r="T36">
        <f t="shared" si="45"/>
        <v>0</v>
      </c>
      <c r="U36">
        <f>IF(AND(F36=0,OR($A36=$U32,$E36=$U32)),1,0)</f>
        <v>0</v>
      </c>
      <c r="V36">
        <f>IF(AND(F36=0,OR(AND($A36=$U32,$B36&gt;$D36),AND($E36=$U32,$D36&gt;$B36))),1,0)</f>
        <v>0</v>
      </c>
      <c r="W36">
        <f t="shared" si="46"/>
        <v>0</v>
      </c>
      <c r="X36">
        <f>IF(AND(F36=0,OR(AND($A36=$U32,$B36&lt;$D36),AND($E36=$U32,$D36&lt;$B36))),1,0)</f>
        <v>0</v>
      </c>
      <c r="Y36">
        <f>IF(F36&gt;0,0,IF($A36=$U32,$B36,IF($E36=$U32,$D36,0)))</f>
        <v>0</v>
      </c>
      <c r="Z36">
        <f>IF(F36&gt;0,0,IF($A36=$U32,$D36,IF($E36=$U32,$B36,0)))</f>
        <v>0</v>
      </c>
      <c r="AA36">
        <f t="shared" si="47"/>
        <v>0</v>
      </c>
      <c r="AB36">
        <f>IF(AND(F36=0,OR($A36=$AB32,$E36=$AB32)),1,0)</f>
        <v>0</v>
      </c>
      <c r="AC36">
        <f>IF(AND(F36=0,OR(AND($A36=$AB32,$B36&gt;$D36),AND($E36=$AB32,$D36&gt;$B36))),1,0)</f>
        <v>0</v>
      </c>
      <c r="AD36">
        <f t="shared" si="48"/>
        <v>0</v>
      </c>
      <c r="AE36">
        <f>IF(AND(F36=0,OR(AND($A36=$AB32,$B36&lt;$D36),AND($E36=$AB32,$D36&lt;$B36))),1,0)</f>
        <v>0</v>
      </c>
      <c r="AF36">
        <f>IF(F36&gt;0,0,IF($A36=$AB32,$B36,IF($E36=$AB32,$D36,0)))</f>
        <v>0</v>
      </c>
      <c r="AG36">
        <f>IF(F36&gt;0,0,IF($A36=$AB32,$D36,IF($E36=$AB32,$B36,0)))</f>
        <v>0</v>
      </c>
      <c r="AH36">
        <f t="shared" si="49"/>
        <v>0</v>
      </c>
      <c r="AJ36" s="28" t="str">
        <f>U32</f>
        <v>vítěz utkání 2st-5</v>
      </c>
      <c r="AK36" s="28">
        <f t="shared" ref="AK36:AQ36" si="52">U40</f>
        <v>0</v>
      </c>
      <c r="AL36" s="28">
        <f t="shared" si="52"/>
        <v>0</v>
      </c>
      <c r="AM36" s="28">
        <f t="shared" si="52"/>
        <v>0</v>
      </c>
      <c r="AN36" s="28">
        <f t="shared" si="52"/>
        <v>0</v>
      </c>
      <c r="AO36" s="28">
        <f t="shared" si="52"/>
        <v>0</v>
      </c>
      <c r="AP36" s="28">
        <f t="shared" si="52"/>
        <v>0</v>
      </c>
      <c r="AQ36" s="28">
        <f t="shared" si="52"/>
        <v>0</v>
      </c>
      <c r="AS36" s="28" t="str">
        <f>IF($AQ36&gt;=$AQ37,$AJ36,$AJ37)</f>
        <v>vítěz utkání 2st-5</v>
      </c>
      <c r="AT36" s="28">
        <f>VLOOKUP(AS36,$AJ34:$AQ37,8,FALSE)</f>
        <v>0</v>
      </c>
      <c r="AU36" s="28" t="str">
        <f>IF($AT36&lt;=$AT34,$AS36,$AS34)</f>
        <v>vítěz utkání 2st-5</v>
      </c>
      <c r="AV36" s="28">
        <f>VLOOKUP(AU36,$AS34:$AT37,2,FALSE)</f>
        <v>0</v>
      </c>
      <c r="AW36" s="28" t="str">
        <f>IF($AV36&lt;=$AV35,$AU36,$AU35)</f>
        <v>vítěz utkání 2st-5</v>
      </c>
      <c r="AX36" s="28">
        <f>VLOOKUP(AW36,$AU34:$AV37,2,FALSE)</f>
        <v>0</v>
      </c>
      <c r="AY36" s="28">
        <f>VLOOKUP(AW36,$AJ34:$AQ37,6,FALSE)</f>
        <v>0</v>
      </c>
      <c r="AZ36" s="28">
        <f>VLOOKUP(AW36,$AJ34:$AQ37,7,FALSE)</f>
        <v>0</v>
      </c>
      <c r="BA36" s="28">
        <f>AY36-AZ36</f>
        <v>0</v>
      </c>
      <c r="BB36" s="28" t="str">
        <f>IF(AND($AX36=$AX37,$BA37&gt;$BA36),$AW37,$AW36)</f>
        <v>vítěz utkání 2st-5</v>
      </c>
      <c r="BC36" s="28">
        <f>VLOOKUP(BB36,$AW34:$BA37,2,FALSE)</f>
        <v>0</v>
      </c>
      <c r="BD36" s="28">
        <f>VLOOKUP(BB36,$AW34:$BA37,5,FALSE)</f>
        <v>0</v>
      </c>
      <c r="BE36" s="28" t="str">
        <f>IF(AND($BC34=$BC36,$BD36&gt;$BD34),$BB34,$BB36)</f>
        <v>vítěz utkání 2st-5</v>
      </c>
      <c r="BF36" s="28">
        <f>VLOOKUP(BE36,$BB34:$BD37,2,FALSE)</f>
        <v>0</v>
      </c>
      <c r="BG36" s="28">
        <f>VLOOKUP(BE36,$BB34:$BD37,3,FALSE)</f>
        <v>0</v>
      </c>
      <c r="BH36" s="28" t="str">
        <f>IF(AND($BF35=$BF36,$BG36&gt;$BG35),$BE35,$BE36)</f>
        <v>vítěz utkání 2st-5</v>
      </c>
      <c r="BI36" s="28">
        <f>VLOOKUP(BH36,$BE34:$BG37,2,FALSE)</f>
        <v>0</v>
      </c>
      <c r="BJ36" s="28">
        <f>VLOOKUP(BH36,$BE34:$BG37,3,FALSE)</f>
        <v>0</v>
      </c>
      <c r="BK36" s="28">
        <f>VLOOKUP(BH36,$AJ34:$AQ37,6,FALSE)</f>
        <v>0</v>
      </c>
      <c r="BL36" s="28" t="str">
        <f>IF(AND($BI36=$BI37,$BJ36=$BJ37,$BK37&gt;$BK36),$BH37,$BH36)</f>
        <v>vítěz utkání 2st-5</v>
      </c>
      <c r="BM36" s="28">
        <f>VLOOKUP(BL36,$BH34:$BK37,2,FALSE)</f>
        <v>0</v>
      </c>
      <c r="BN36" s="28">
        <f>VLOOKUP(BL36,$BH34:$BK37,3,FALSE)</f>
        <v>0</v>
      </c>
      <c r="BO36" s="28">
        <f>VLOOKUP(BL36,$BH34:$BK37,4,FALSE)</f>
        <v>0</v>
      </c>
      <c r="BP36" s="28" t="str">
        <f>IF(AND($BM34=$BM36,$BN34=$BN36,$BO36&gt;$BO34),$BL34,$BL36)</f>
        <v>vítěz utkání 2st-5</v>
      </c>
      <c r="BQ36" s="28">
        <f>VLOOKUP(BP36,$BL34:$BO37,2,FALSE)</f>
        <v>0</v>
      </c>
      <c r="BR36" s="28">
        <f>VLOOKUP(BP36,$BL34:$BO37,3,FALSE)</f>
        <v>0</v>
      </c>
      <c r="BS36" s="28">
        <f>VLOOKUP(BP36,$BL34:$BO37,4,FALSE)</f>
        <v>0</v>
      </c>
      <c r="BT36" s="28" t="str">
        <f>IF(AND($BQ35=$BQ36,$BR35=$BR36,$BS36&gt;$BS35),$BP35,$BP36)</f>
        <v>vítěz utkání 2st-5</v>
      </c>
      <c r="BU36" s="28">
        <f>VLOOKUP(BT36,$BP34:$BS37,2,FALSE)</f>
        <v>0</v>
      </c>
      <c r="BV36" s="28">
        <f>VLOOKUP(BT36,$BP34:$BS37,3,FALSE)</f>
        <v>0</v>
      </c>
      <c r="BW36" s="28">
        <f>VLOOKUP(BT36,$BP34:$BS37,4,FALSE)</f>
        <v>0</v>
      </c>
      <c r="BX36" s="28" t="str">
        <f>BT36</f>
        <v>vítěz utkání 2st-5</v>
      </c>
      <c r="BY36" s="28">
        <f>VLOOKUP($BX36,$AJ34:$AQ37,2,FALSE)</f>
        <v>0</v>
      </c>
      <c r="BZ36" s="28">
        <f>VLOOKUP($BX36,$AJ34:$AQ37,3,FALSE)</f>
        <v>0</v>
      </c>
      <c r="CA36" s="28">
        <f>VLOOKUP($BX36,$AJ34:$AQ37,4,FALSE)</f>
        <v>0</v>
      </c>
      <c r="CB36" s="28">
        <f>VLOOKUP($BX36,$AJ34:$AQ37,5,FALSE)</f>
        <v>0</v>
      </c>
      <c r="CC36" s="28">
        <f>VLOOKUP($BX36,$AJ34:$AQ37,6,FALSE)</f>
        <v>0</v>
      </c>
      <c r="CD36" s="28">
        <f>VLOOKUP($BX36,$AJ34:$AQ37,7,FALSE)</f>
        <v>0</v>
      </c>
      <c r="CE36" s="28">
        <f>VLOOKUP($BX36,$AJ34:$AQ37,8,FALSE)</f>
        <v>0</v>
      </c>
      <c r="CF36" s="128" t="str">
        <f>CONCATENATE(CC36,":",CD36)</f>
        <v>0:0</v>
      </c>
    </row>
    <row r="37" spans="1:84" x14ac:dyDescent="0.2">
      <c r="A37" s="27" t="str">
        <f>'3-zapasy'!D30</f>
        <v>vítěz utkání 2st-12</v>
      </c>
      <c r="B37" s="27" t="str">
        <f>'3-zapasy'!I30</f>
        <v/>
      </c>
      <c r="C37" s="27" t="e">
        <f>'3-zapasy'!#REF!</f>
        <v>#REF!</v>
      </c>
      <c r="D37" s="27" t="str">
        <f>'3-zapasy'!J30</f>
        <v/>
      </c>
      <c r="E37" s="27" t="str">
        <f>'3-zapasy'!E30</f>
        <v>vítěz utkání 2st-4</v>
      </c>
      <c r="F37" s="28">
        <f>COUNTBLANK('3-zapasy'!I30:'3-zapasy'!J30)</f>
        <v>2</v>
      </c>
      <c r="G37" s="28">
        <f>IF(AND(F37=0,OR($A37=$G32,$E37=$G32)),1,0)</f>
        <v>0</v>
      </c>
      <c r="H37" s="28">
        <f>IF(AND(F37=0,OR(AND($A37=$G32,$B37&gt;$D37),AND($E37=$G32,$D37&gt;$B37))),1,0)</f>
        <v>0</v>
      </c>
      <c r="I37" s="28">
        <f t="shared" si="42"/>
        <v>0</v>
      </c>
      <c r="J37" s="28">
        <f>IF(AND(F37=0,OR(AND($A37=$G32,$B37&lt;$D37),AND($E37=$G32,$D37&lt;$B37))),1,0)</f>
        <v>0</v>
      </c>
      <c r="K37" s="28">
        <f>IF(F37&gt;0,0,IF($A37=$G32,$B37,IF($E37=$G32,$D37,0)))</f>
        <v>0</v>
      </c>
      <c r="L37" s="28">
        <f>IF(F37&gt;0,0,IF($A37=$G32,$D37,IF($E37=$G32,$B37,0)))</f>
        <v>0</v>
      </c>
      <c r="M37">
        <f t="shared" si="43"/>
        <v>0</v>
      </c>
      <c r="N37">
        <f>IF(AND(F37=0,OR($A37=$N32,$E37=$N32)),1,0)</f>
        <v>0</v>
      </c>
      <c r="O37">
        <f>IF(AND(F37=0,OR(AND($A37=$N32,$B37&gt;$D37),AND($E37=$N32,$D37&gt;$B37))),1,0)</f>
        <v>0</v>
      </c>
      <c r="P37">
        <f t="shared" si="44"/>
        <v>0</v>
      </c>
      <c r="Q37">
        <f>IF(AND(F37=0,OR(AND($A37=$N32,$B37&lt;$D37),AND($E37=$N32,$D37&lt;$B37))),1,0)</f>
        <v>0</v>
      </c>
      <c r="R37">
        <f>IF(F37&gt;0,0,IF($A37=$N32,$B37,IF($E37=$N32,$D37,0)))</f>
        <v>0</v>
      </c>
      <c r="S37">
        <f>IF(F37&gt;0,0,IF($A37=$N32,$D37,IF($E37=$N32,$B37,0)))</f>
        <v>0</v>
      </c>
      <c r="T37">
        <f t="shared" si="45"/>
        <v>0</v>
      </c>
      <c r="U37">
        <f>IF(AND(F37=0,OR($A37=$U32,$E37=$U32)),1,0)</f>
        <v>0</v>
      </c>
      <c r="V37">
        <f>IF(AND(F37=0,OR(AND($A37=$U32,$B37&gt;$D37),AND($E37=$U32,$D37&gt;$B37))),1,0)</f>
        <v>0</v>
      </c>
      <c r="W37">
        <f t="shared" si="46"/>
        <v>0</v>
      </c>
      <c r="X37">
        <f>IF(AND(F37=0,OR(AND($A37=$U32,$B37&lt;$D37),AND($E37=$U32,$D37&lt;$B37))),1,0)</f>
        <v>0</v>
      </c>
      <c r="Y37">
        <f>IF(F37&gt;0,0,IF($A37=$U32,$B37,IF($E37=$U32,$D37,0)))</f>
        <v>0</v>
      </c>
      <c r="Z37">
        <f>IF(F37&gt;0,0,IF($A37=$U32,$D37,IF($E37=$U32,$B37,0)))</f>
        <v>0</v>
      </c>
      <c r="AA37">
        <f t="shared" si="47"/>
        <v>0</v>
      </c>
      <c r="AB37">
        <f>IF(AND(F37=0,OR($A37=$AB32,$E37=$AB32)),1,0)</f>
        <v>0</v>
      </c>
      <c r="AC37">
        <f>IF(AND(F37=0,OR(AND($A37=$AB32,$B37&gt;$D37),AND($E37=$AB32,$D37&gt;$B37))),1,0)</f>
        <v>0</v>
      </c>
      <c r="AD37">
        <f t="shared" si="48"/>
        <v>0</v>
      </c>
      <c r="AE37">
        <f>IF(AND(F37=0,OR(AND($A37=$AB32,$B37&lt;$D37),AND($E37=$AB32,$D37&lt;$B37))),1,0)</f>
        <v>0</v>
      </c>
      <c r="AF37">
        <f>IF(F37&gt;0,0,IF($A37=$AB32,$B37,IF($E37=$AB32,$D37,0)))</f>
        <v>0</v>
      </c>
      <c r="AG37">
        <f>IF(F37&gt;0,0,IF($A37=$AB32,$D37,IF($E37=$AB32,$B37,0)))</f>
        <v>0</v>
      </c>
      <c r="AH37">
        <f t="shared" si="49"/>
        <v>0</v>
      </c>
      <c r="AJ37" s="28" t="str">
        <f>AB32</f>
        <v>vítěz utkání 2st-12</v>
      </c>
      <c r="AK37" s="28">
        <f t="shared" ref="AK37:AQ37" si="53">AB40</f>
        <v>0</v>
      </c>
      <c r="AL37" s="28">
        <f t="shared" si="53"/>
        <v>0</v>
      </c>
      <c r="AM37" s="28">
        <f t="shared" si="53"/>
        <v>0</v>
      </c>
      <c r="AN37" s="28">
        <f t="shared" si="53"/>
        <v>0</v>
      </c>
      <c r="AO37" s="28">
        <f t="shared" si="53"/>
        <v>0</v>
      </c>
      <c r="AP37" s="28">
        <f t="shared" si="53"/>
        <v>0</v>
      </c>
      <c r="AQ37" s="28">
        <f t="shared" si="53"/>
        <v>0</v>
      </c>
      <c r="AS37" s="28" t="str">
        <f>IF($AQ37&lt;=$AQ36,$AJ37,$AJ36)</f>
        <v>vítěz utkání 2st-12</v>
      </c>
      <c r="AT37" s="28">
        <f>VLOOKUP(AS37,$AJ34:$AQ37,8,FALSE)</f>
        <v>0</v>
      </c>
      <c r="AU37" s="28" t="str">
        <f>IF($AT37&lt;=$AT35,$AS37,$AS35)</f>
        <v>vítěz utkání 2st-12</v>
      </c>
      <c r="AV37" s="28">
        <f>VLOOKUP(AU37,$AS34:$AT37,2,FALSE)</f>
        <v>0</v>
      </c>
      <c r="AW37" s="28" t="str">
        <f>IF($AV37&lt;=$AV34,$AU37,$AU34)</f>
        <v>vítěz utkání 2st-12</v>
      </c>
      <c r="AX37" s="28">
        <f>VLOOKUP(AW37,$AU34:$AV37,2,FALSE)</f>
        <v>0</v>
      </c>
      <c r="AY37" s="28">
        <f>VLOOKUP(AW37,$AJ34:$AQ37,6,FALSE)</f>
        <v>0</v>
      </c>
      <c r="AZ37" s="28">
        <f>VLOOKUP(AW37,$AJ34:$AQ37,7,FALSE)</f>
        <v>0</v>
      </c>
      <c r="BA37" s="28">
        <f>AY37-AZ37</f>
        <v>0</v>
      </c>
      <c r="BB37" s="28" t="str">
        <f>IF(AND($AX36=$AX37,$BA37&gt;$BA36),$AW36,$AW37)</f>
        <v>vítěz utkání 2st-12</v>
      </c>
      <c r="BC37" s="28">
        <f>VLOOKUP(BB37,$AW34:$BA37,2,FALSE)</f>
        <v>0</v>
      </c>
      <c r="BD37" s="28">
        <f>VLOOKUP(BB37,$AW34:$BA37,5,FALSE)</f>
        <v>0</v>
      </c>
      <c r="BE37" s="28" t="str">
        <f>IF(AND($BC35=$BC37,$BD37&gt;$BD35),$BB35,$BB37)</f>
        <v>vítěz utkání 2st-12</v>
      </c>
      <c r="BF37" s="28">
        <f>VLOOKUP(BE37,$BB34:$BD37,2,FALSE)</f>
        <v>0</v>
      </c>
      <c r="BG37" s="28">
        <f>VLOOKUP(BE37,$BB34:$BD37,3,FALSE)</f>
        <v>0</v>
      </c>
      <c r="BH37" s="28" t="str">
        <f>IF(AND($BF34=$BF37,$BG37&gt;$BG34),$BE34,$BE37)</f>
        <v>vítěz utkání 2st-12</v>
      </c>
      <c r="BI37" s="28">
        <f>VLOOKUP(BH37,$BE34:$BG37,2,FALSE)</f>
        <v>0</v>
      </c>
      <c r="BJ37" s="28">
        <f>VLOOKUP(BH37,$BE34:$BG37,3,FALSE)</f>
        <v>0</v>
      </c>
      <c r="BK37" s="28">
        <f>VLOOKUP(BH37,$AJ34:$AQ37,6,FALSE)</f>
        <v>0</v>
      </c>
      <c r="BL37" s="28" t="str">
        <f>IF(AND($BI36=$BI37,$BJ36=$BJ37,$BK37&gt;$BK36),$BH36,$BH37)</f>
        <v>vítěz utkání 2st-12</v>
      </c>
      <c r="BM37" s="28">
        <f>VLOOKUP(BL37,$BH34:$BK37,2,FALSE)</f>
        <v>0</v>
      </c>
      <c r="BN37" s="28">
        <f>VLOOKUP(BL37,$BH34:$BK37,3,FALSE)</f>
        <v>0</v>
      </c>
      <c r="BO37" s="28">
        <f>VLOOKUP(BL37,$BH34:$BK37,4,FALSE)</f>
        <v>0</v>
      </c>
      <c r="BP37" s="28" t="str">
        <f>IF(AND($BM35=$BM37,$BN35=$BN37,$BO37&gt;$BO35),$BL35,$BL37)</f>
        <v>vítěz utkání 2st-12</v>
      </c>
      <c r="BQ37" s="28">
        <f>VLOOKUP(BP37,$BL34:$BO37,2,FALSE)</f>
        <v>0</v>
      </c>
      <c r="BR37" s="28">
        <f>VLOOKUP(BP37,$BL34:$BO37,3,FALSE)</f>
        <v>0</v>
      </c>
      <c r="BS37" s="28">
        <f>VLOOKUP(BP37,$BL34:$BO37,4,FALSE)</f>
        <v>0</v>
      </c>
      <c r="BT37" s="28" t="str">
        <f>IF(AND($BQ34=$BQ37,$BR34=$BR37,$BS37&gt;$BS34),$BP34,$BP37)</f>
        <v>vítěz utkání 2st-12</v>
      </c>
      <c r="BU37" s="28">
        <f>VLOOKUP(BT37,$BP34:$BS37,2,FALSE)</f>
        <v>0</v>
      </c>
      <c r="BV37" s="28">
        <f>VLOOKUP(BT37,$BP34:$BS37,3,FALSE)</f>
        <v>0</v>
      </c>
      <c r="BW37" s="28">
        <f>VLOOKUP(BT37,$BP34:$BS37,4,FALSE)</f>
        <v>0</v>
      </c>
      <c r="BX37" s="28" t="str">
        <f>BT37</f>
        <v>vítěz utkání 2st-12</v>
      </c>
      <c r="BY37" s="28">
        <f>VLOOKUP($BX37,$AJ34:$AQ37,2,FALSE)</f>
        <v>0</v>
      </c>
      <c r="BZ37" s="28">
        <f>VLOOKUP($BX37,$AJ34:$AQ37,3,FALSE)</f>
        <v>0</v>
      </c>
      <c r="CA37" s="28">
        <f>VLOOKUP($BX37,$AJ34:$AQ37,4,FALSE)</f>
        <v>0</v>
      </c>
      <c r="CB37" s="28">
        <f>VLOOKUP($BX37,$AJ34:$AQ37,5,FALSE)</f>
        <v>0</v>
      </c>
      <c r="CC37" s="28">
        <f>VLOOKUP($BX37,$AJ34:$AQ37,6,FALSE)</f>
        <v>0</v>
      </c>
      <c r="CD37" s="28">
        <f>VLOOKUP($BX37,$AJ34:$AQ37,7,FALSE)</f>
        <v>0</v>
      </c>
      <c r="CE37" s="28">
        <f>VLOOKUP($BX37,$AJ34:$AQ37,8,FALSE)</f>
        <v>0</v>
      </c>
      <c r="CF37" s="128" t="str">
        <f>CONCATENATE(CC37,":",CD37)</f>
        <v>0:0</v>
      </c>
    </row>
    <row r="38" spans="1:84" x14ac:dyDescent="0.2">
      <c r="A38" s="27" t="str">
        <f>'3-zapasy'!D31</f>
        <v>vítěz utkání 2st-12</v>
      </c>
      <c r="B38" s="27" t="str">
        <f>'3-zapasy'!I31</f>
        <v/>
      </c>
      <c r="C38" s="27" t="e">
        <f>'3-zapasy'!#REF!</f>
        <v>#REF!</v>
      </c>
      <c r="D38" s="27" t="str">
        <f>'3-zapasy'!J31</f>
        <v/>
      </c>
      <c r="E38" s="27" t="str">
        <f>'3-zapasy'!E31</f>
        <v>vítěz utkání 2st-13</v>
      </c>
      <c r="F38" s="28">
        <f>COUNTBLANK('3-zapasy'!I31:'3-zapasy'!J31)</f>
        <v>2</v>
      </c>
      <c r="G38" s="28">
        <f>IF(AND(F38=0,OR($A38=$G32,$E38=$G32)),1,0)</f>
        <v>0</v>
      </c>
      <c r="H38" s="28">
        <f>IF(AND(F38=0,OR(AND($A38=$G32,$B38&gt;$D38),AND($E38=$G32,$D38&gt;$B38))),1,0)</f>
        <v>0</v>
      </c>
      <c r="I38" s="28">
        <f t="shared" si="42"/>
        <v>0</v>
      </c>
      <c r="J38" s="28">
        <f>IF(AND(F38=0,OR(AND($A38=$G32,$B38&lt;$D38),AND($E38=$G32,$D38&lt;$B38))),1,0)</f>
        <v>0</v>
      </c>
      <c r="K38" s="28">
        <f>IF(F38&gt;0,0,IF($A38=$G32,$B38,IF($E38=$G32,$D38,0)))</f>
        <v>0</v>
      </c>
      <c r="L38" s="28">
        <f>IF(F38&gt;0,0,IF($A38=$G32,$D38,IF($E38=$G32,$B38,0)))</f>
        <v>0</v>
      </c>
      <c r="M38">
        <f t="shared" si="43"/>
        <v>0</v>
      </c>
      <c r="N38">
        <f>IF(AND(F38=0,OR($A38=$N32,$E38=$N32)),1,0)</f>
        <v>0</v>
      </c>
      <c r="O38">
        <f>IF(AND(F38=0,OR(AND($A38=$N32,$B38&gt;$D38),AND($E38=$N32,$D38&gt;$B38))),1,0)</f>
        <v>0</v>
      </c>
      <c r="P38">
        <f t="shared" si="44"/>
        <v>0</v>
      </c>
      <c r="Q38">
        <f>IF(AND(F38=0,OR(AND($A38=$N32,$B38&lt;$D38),AND($E38=$N32,$D38&lt;$B38))),1,0)</f>
        <v>0</v>
      </c>
      <c r="R38">
        <f>IF(F38&gt;0,0,IF($A38=$N32,$B38,IF($E38=$N32,$D38,0)))</f>
        <v>0</v>
      </c>
      <c r="S38">
        <f>IF(F38&gt;0,0,IF($A38=$N32,$D38,IF($E38=$N32,$B38,0)))</f>
        <v>0</v>
      </c>
      <c r="T38">
        <f t="shared" si="45"/>
        <v>0</v>
      </c>
      <c r="U38">
        <f>IF(AND(F38=0,OR($A38=$U32,$E38=$U32)),1,0)</f>
        <v>0</v>
      </c>
      <c r="V38">
        <f>IF(AND(F38=0,OR(AND($A38=$U32,$B38&gt;$D38),AND($E38=$U32,$D38&gt;$B38))),1,0)</f>
        <v>0</v>
      </c>
      <c r="W38">
        <f t="shared" si="46"/>
        <v>0</v>
      </c>
      <c r="X38">
        <f>IF(AND(F38=0,OR(AND($A38=$U32,$B38&lt;$D38),AND($E38=$U32,$D38&lt;$B38))),1,0)</f>
        <v>0</v>
      </c>
      <c r="Y38">
        <f>IF(F38&gt;0,0,IF($A38=$U32,$B38,IF($E38=$U32,$D38,0)))</f>
        <v>0</v>
      </c>
      <c r="Z38">
        <f>IF(F38&gt;0,0,IF($A38=$U32,$D38,IF($E38=$U32,$B38,0)))</f>
        <v>0</v>
      </c>
      <c r="AA38">
        <f t="shared" si="47"/>
        <v>0</v>
      </c>
      <c r="AB38">
        <f>IF(AND(F38=0,OR($A38=$AB32,$E38=$AB32)),1,0)</f>
        <v>0</v>
      </c>
      <c r="AC38">
        <f>IF(AND(F38=0,OR(AND($A38=$AB32,$B38&gt;$D38),AND($E38=$AB32,$D38&gt;$B38))),1,0)</f>
        <v>0</v>
      </c>
      <c r="AD38">
        <f t="shared" si="48"/>
        <v>0</v>
      </c>
      <c r="AE38">
        <f>IF(AND(F38=0,OR(AND($A38=$AB32,$B38&lt;$D38),AND($E38=$AB32,$D38&lt;$B38))),1,0)</f>
        <v>0</v>
      </c>
      <c r="AF38">
        <f>IF(F38&gt;0,0,IF($A38=$AB32,$B38,IF($E38=$AB32,$D38,0)))</f>
        <v>0</v>
      </c>
      <c r="AG38">
        <f>IF(F38&gt;0,0,IF($A38=$AB32,$D38,IF($E38=$AB32,$B38,0)))</f>
        <v>0</v>
      </c>
      <c r="AH38">
        <f t="shared" si="49"/>
        <v>0</v>
      </c>
    </row>
    <row r="39" spans="1:84" x14ac:dyDescent="0.2">
      <c r="A39" s="27" t="str">
        <f>'3-zapasy'!D32</f>
        <v>vítěz utkání 2st-4</v>
      </c>
      <c r="B39" s="27" t="str">
        <f>'3-zapasy'!I32</f>
        <v/>
      </c>
      <c r="C39" s="27" t="e">
        <f>'3-zapasy'!#REF!</f>
        <v>#REF!</v>
      </c>
      <c r="D39" s="27" t="str">
        <f>'3-zapasy'!J32</f>
        <v/>
      </c>
      <c r="E39" s="27" t="str">
        <f>'3-zapasy'!E32</f>
        <v>vítěz utkání 2st-5</v>
      </c>
      <c r="F39" s="28">
        <f>COUNTBLANK('3-zapasy'!I32:'3-zapasy'!J32)</f>
        <v>2</v>
      </c>
      <c r="G39" s="28">
        <f>IF(AND(F39=0,OR($A39=$G32,$E39=$G32)),1,0)</f>
        <v>0</v>
      </c>
      <c r="H39" s="28">
        <f>IF(AND(F39=0,OR(AND($A39=$G32,$B39&gt;$D39),AND($E39=$G32,$D39&gt;$B39))),1,0)</f>
        <v>0</v>
      </c>
      <c r="I39" s="28">
        <f t="shared" si="42"/>
        <v>0</v>
      </c>
      <c r="J39" s="28">
        <f>IF(AND(F39=0,OR(AND($A39=$G32,$B39&lt;$D39),AND($E39=$G32,$D39&lt;$B39))),1,0)</f>
        <v>0</v>
      </c>
      <c r="K39" s="28">
        <f>IF(F39&gt;0,0,IF($A39=$G32,$B39,IF($E39=$G32,$D39,0)))</f>
        <v>0</v>
      </c>
      <c r="L39" s="28">
        <f>IF(F39&gt;0,0,IF($A39=$G32,$D39,IF($E39=$G32,$B39,0)))</f>
        <v>0</v>
      </c>
      <c r="M39">
        <f t="shared" si="43"/>
        <v>0</v>
      </c>
      <c r="N39">
        <f>IF(AND(F39=0,OR($A39=$N32,$E39=$N32)),1,0)</f>
        <v>0</v>
      </c>
      <c r="O39">
        <f>IF(AND(F39=0,OR(AND($A39=$N32,$B39&gt;$D39),AND($E39=$N32,$D39&gt;$B39))),1,0)</f>
        <v>0</v>
      </c>
      <c r="P39">
        <f t="shared" si="44"/>
        <v>0</v>
      </c>
      <c r="Q39">
        <f>IF(AND(F39=0,OR(AND($A39=$N32,$B39&lt;$D39),AND($E39=$N32,$D39&lt;$B39))),1,0)</f>
        <v>0</v>
      </c>
      <c r="R39">
        <f>IF(F39&gt;0,0,IF($A39=$N32,$B39,IF($E39=$N32,$D39,0)))</f>
        <v>0</v>
      </c>
      <c r="S39">
        <f>IF(F39&gt;0,0,IF($A39=$N32,$D39,IF($E39=$N32,$B39,0)))</f>
        <v>0</v>
      </c>
      <c r="T39">
        <f t="shared" si="45"/>
        <v>0</v>
      </c>
      <c r="U39">
        <f>IF(AND(F39=0,OR($A39=$U32,$E39=$U32)),1,0)</f>
        <v>0</v>
      </c>
      <c r="V39">
        <f>IF(AND(F39=0,OR(AND($A39=$U32,$B39&gt;$D39),AND($E39=$U32,$D39&gt;$B39))),1,0)</f>
        <v>0</v>
      </c>
      <c r="W39">
        <f t="shared" si="46"/>
        <v>0</v>
      </c>
      <c r="X39">
        <f>IF(AND(F39=0,OR(AND($A39=$U32,$B39&lt;$D39),AND($E39=$U32,$D39&lt;$B39))),1,0)</f>
        <v>0</v>
      </c>
      <c r="Y39">
        <f>IF(F39&gt;0,0,IF($A39=$U32,$B39,IF($E39=$U32,$D39,0)))</f>
        <v>0</v>
      </c>
      <c r="Z39">
        <f>IF(F39&gt;0,0,IF($A39=$U32,$D39,IF($E39=$U32,$B39,0)))</f>
        <v>0</v>
      </c>
      <c r="AA39">
        <f t="shared" si="47"/>
        <v>0</v>
      </c>
      <c r="AB39">
        <f>IF(AND(F39=0,OR($A39=$AB32,$E39=$AB32)),1,0)</f>
        <v>0</v>
      </c>
      <c r="AC39">
        <f>IF(AND(F39=0,OR(AND($A39=$AB32,$B39&gt;$D39),AND($E39=$AB32,$D39&gt;$B39))),1,0)</f>
        <v>0</v>
      </c>
      <c r="AD39">
        <f t="shared" si="48"/>
        <v>0</v>
      </c>
      <c r="AE39">
        <f>IF(AND(F39=0,OR(AND($A39=$AB32,$B39&lt;$D39),AND($E39=$AB32,$D39&lt;$B39))),1,0)</f>
        <v>0</v>
      </c>
      <c r="AF39">
        <f>IF(F39&gt;0,0,IF($A39=$AB32,$B39,IF($E39=$AB32,$D39,0)))</f>
        <v>0</v>
      </c>
      <c r="AG39">
        <f>IF(F39&gt;0,0,IF($A39=$AB32,$D39,IF($E39=$AB32,$B39,0)))</f>
        <v>0</v>
      </c>
      <c r="AH39">
        <f t="shared" si="49"/>
        <v>0</v>
      </c>
    </row>
    <row r="40" spans="1:84" x14ac:dyDescent="0.2">
      <c r="G40" s="28">
        <f t="shared" ref="G40:L40" si="54">SUM(G34:G39)</f>
        <v>0</v>
      </c>
      <c r="H40" s="28">
        <f t="shared" si="54"/>
        <v>0</v>
      </c>
      <c r="I40" s="28">
        <f t="shared" si="54"/>
        <v>0</v>
      </c>
      <c r="J40" s="28">
        <f t="shared" si="54"/>
        <v>0</v>
      </c>
      <c r="K40" s="28">
        <f t="shared" si="54"/>
        <v>0</v>
      </c>
      <c r="L40" s="28">
        <f t="shared" si="54"/>
        <v>0</v>
      </c>
      <c r="M40">
        <f t="shared" ref="M40:AH40" si="55">SUM(M34:M39)</f>
        <v>0</v>
      </c>
      <c r="N40">
        <f t="shared" si="55"/>
        <v>0</v>
      </c>
      <c r="O40">
        <f t="shared" si="55"/>
        <v>0</v>
      </c>
      <c r="P40">
        <f t="shared" si="55"/>
        <v>0</v>
      </c>
      <c r="Q40">
        <f t="shared" si="55"/>
        <v>0</v>
      </c>
      <c r="R40">
        <f t="shared" si="55"/>
        <v>0</v>
      </c>
      <c r="S40">
        <f t="shared" si="55"/>
        <v>0</v>
      </c>
      <c r="T40">
        <f t="shared" si="55"/>
        <v>0</v>
      </c>
      <c r="U40">
        <f t="shared" si="55"/>
        <v>0</v>
      </c>
      <c r="V40">
        <f t="shared" si="55"/>
        <v>0</v>
      </c>
      <c r="W40">
        <f t="shared" si="55"/>
        <v>0</v>
      </c>
      <c r="X40">
        <f t="shared" si="55"/>
        <v>0</v>
      </c>
      <c r="Y40">
        <f t="shared" si="55"/>
        <v>0</v>
      </c>
      <c r="Z40">
        <f t="shared" si="55"/>
        <v>0</v>
      </c>
      <c r="AA40">
        <f t="shared" si="55"/>
        <v>0</v>
      </c>
      <c r="AB40">
        <f t="shared" si="55"/>
        <v>0</v>
      </c>
      <c r="AC40">
        <f t="shared" si="55"/>
        <v>0</v>
      </c>
      <c r="AD40">
        <f t="shared" si="55"/>
        <v>0</v>
      </c>
      <c r="AE40">
        <f t="shared" si="55"/>
        <v>0</v>
      </c>
      <c r="AF40">
        <f t="shared" si="55"/>
        <v>0</v>
      </c>
      <c r="AG40">
        <f t="shared" si="55"/>
        <v>0</v>
      </c>
      <c r="AH40">
        <f t="shared" si="55"/>
        <v>0</v>
      </c>
    </row>
  </sheetData>
  <mergeCells count="24">
    <mergeCell ref="G2:M2"/>
    <mergeCell ref="N2:T2"/>
    <mergeCell ref="U2:AA2"/>
    <mergeCell ref="AB2:AH2"/>
    <mergeCell ref="G12:M12"/>
    <mergeCell ref="N12:T12"/>
    <mergeCell ref="U12:AA12"/>
    <mergeCell ref="AB12:AH12"/>
    <mergeCell ref="AJ22:AQ22"/>
    <mergeCell ref="AJ32:AQ32"/>
    <mergeCell ref="A12:E13"/>
    <mergeCell ref="A2:E3"/>
    <mergeCell ref="AJ2:AQ2"/>
    <mergeCell ref="AJ12:AQ12"/>
    <mergeCell ref="A32:E33"/>
    <mergeCell ref="A22:E23"/>
    <mergeCell ref="G32:M32"/>
    <mergeCell ref="N32:T32"/>
    <mergeCell ref="U32:AA32"/>
    <mergeCell ref="AB32:AH32"/>
    <mergeCell ref="G22:M22"/>
    <mergeCell ref="N22:T22"/>
    <mergeCell ref="U22:AA22"/>
    <mergeCell ref="AB22:AH22"/>
  </mergeCells>
  <pageMargins left="0.78740157499999996" right="0.78740157499999996" top="0.984251969" bottom="0.984251969" header="0.5" footer="0.5"/>
  <pageSetup paperSize="9" orientation="portrait" horizontalDpi="300" verticalDpi="0" copies="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97"/>
  <sheetViews>
    <sheetView zoomScaleNormal="100" zoomScaleSheetLayoutView="115" workbookViewId="0">
      <selection activeCell="B4" sqref="B4"/>
    </sheetView>
  </sheetViews>
  <sheetFormatPr defaultRowHeight="12.75" x14ac:dyDescent="0.2"/>
  <sheetData>
    <row r="1" spans="1:10" ht="23.25" x14ac:dyDescent="0.2">
      <c r="A1" s="472" t="s">
        <v>332</v>
      </c>
      <c r="B1" s="472"/>
      <c r="C1" s="472"/>
      <c r="D1" s="472"/>
      <c r="E1" s="472"/>
      <c r="F1" s="472"/>
      <c r="G1" s="472"/>
      <c r="H1" s="472"/>
      <c r="I1" s="472"/>
      <c r="J1" s="472"/>
    </row>
    <row r="3" spans="1:10" ht="12.75" customHeight="1" x14ac:dyDescent="0.2">
      <c r="A3" s="466" t="s">
        <v>327</v>
      </c>
      <c r="B3" s="467"/>
      <c r="C3" s="468"/>
    </row>
    <row r="4" spans="1:10" x14ac:dyDescent="0.2">
      <c r="A4" s="318" t="s">
        <v>1</v>
      </c>
      <c r="B4" s="319" t="s">
        <v>315</v>
      </c>
      <c r="C4" s="319" t="s">
        <v>333</v>
      </c>
    </row>
    <row r="5" spans="1:10" x14ac:dyDescent="0.2">
      <c r="A5" s="318" t="s">
        <v>3</v>
      </c>
      <c r="B5" s="319" t="s">
        <v>334</v>
      </c>
      <c r="C5" s="319" t="s">
        <v>319</v>
      </c>
    </row>
    <row r="6" spans="1:10" x14ac:dyDescent="0.2">
      <c r="A6" s="318" t="s">
        <v>5</v>
      </c>
      <c r="B6" s="319" t="s">
        <v>335</v>
      </c>
      <c r="C6" s="319" t="s">
        <v>336</v>
      </c>
    </row>
    <row r="8" spans="1:10" x14ac:dyDescent="0.2">
      <c r="A8" s="466" t="s">
        <v>328</v>
      </c>
      <c r="B8" s="467"/>
      <c r="C8" s="467"/>
      <c r="D8" s="468"/>
    </row>
    <row r="9" spans="1:10" x14ac:dyDescent="0.2">
      <c r="A9" s="318" t="s">
        <v>1</v>
      </c>
      <c r="B9" s="319" t="s">
        <v>352</v>
      </c>
      <c r="C9" s="319" t="s">
        <v>353</v>
      </c>
      <c r="D9" s="319" t="s">
        <v>307</v>
      </c>
      <c r="E9" s="320"/>
      <c r="F9" s="321"/>
      <c r="G9" s="321"/>
      <c r="H9" s="321"/>
    </row>
    <row r="10" spans="1:10" x14ac:dyDescent="0.2">
      <c r="A10" s="318" t="s">
        <v>3</v>
      </c>
      <c r="B10" s="319" t="s">
        <v>340</v>
      </c>
      <c r="C10" s="319" t="s">
        <v>355</v>
      </c>
      <c r="D10" s="319" t="s">
        <v>319</v>
      </c>
      <c r="E10" s="320"/>
      <c r="F10" s="321"/>
      <c r="G10" s="321"/>
      <c r="H10" s="321"/>
    </row>
    <row r="11" spans="1:10" x14ac:dyDescent="0.2">
      <c r="A11" s="318" t="s">
        <v>5</v>
      </c>
      <c r="B11" s="319" t="s">
        <v>358</v>
      </c>
      <c r="C11" s="319" t="s">
        <v>336</v>
      </c>
      <c r="D11" s="319" t="s">
        <v>349</v>
      </c>
      <c r="E11" s="320"/>
      <c r="F11" s="321"/>
      <c r="G11" s="321"/>
      <c r="H11" s="321"/>
    </row>
    <row r="12" spans="1:10" x14ac:dyDescent="0.2">
      <c r="A12" s="318" t="s">
        <v>11</v>
      </c>
      <c r="B12" s="319" t="s">
        <v>359</v>
      </c>
      <c r="C12" s="319" t="s">
        <v>315</v>
      </c>
      <c r="D12" s="319" t="s">
        <v>333</v>
      </c>
      <c r="E12" s="320"/>
      <c r="F12" s="321"/>
      <c r="G12" s="321"/>
      <c r="H12" s="321"/>
    </row>
    <row r="13" spans="1:10" x14ac:dyDescent="0.2">
      <c r="A13" s="318" t="s">
        <v>8</v>
      </c>
      <c r="B13" s="319" t="s">
        <v>338</v>
      </c>
      <c r="C13" s="319" t="s">
        <v>347</v>
      </c>
      <c r="D13" s="319" t="s">
        <v>348</v>
      </c>
      <c r="E13" s="320"/>
      <c r="F13" s="321"/>
      <c r="G13" s="321"/>
      <c r="H13" s="321"/>
    </row>
    <row r="15" spans="1:10" x14ac:dyDescent="0.2">
      <c r="A15" s="466" t="s">
        <v>329</v>
      </c>
      <c r="B15" s="467"/>
      <c r="C15" s="467"/>
      <c r="D15" s="467"/>
      <c r="E15" s="468"/>
    </row>
    <row r="16" spans="1:10" x14ac:dyDescent="0.2">
      <c r="A16" s="318" t="s">
        <v>1</v>
      </c>
      <c r="B16" s="319" t="s">
        <v>110</v>
      </c>
      <c r="C16" s="319" t="s">
        <v>337</v>
      </c>
      <c r="D16" s="319" t="s">
        <v>338</v>
      </c>
      <c r="E16" s="319" t="s">
        <v>349</v>
      </c>
    </row>
    <row r="17" spans="1:10" x14ac:dyDescent="0.2">
      <c r="A17" s="318" t="s">
        <v>3</v>
      </c>
      <c r="B17" s="319" t="s">
        <v>339</v>
      </c>
      <c r="C17" s="319" t="s">
        <v>340</v>
      </c>
      <c r="D17" s="319" t="s">
        <v>341</v>
      </c>
      <c r="E17" s="319" t="s">
        <v>319</v>
      </c>
    </row>
    <row r="18" spans="1:10" x14ac:dyDescent="0.2">
      <c r="A18" s="318" t="s">
        <v>5</v>
      </c>
      <c r="B18" s="319" t="s">
        <v>342</v>
      </c>
      <c r="C18" s="319" t="s">
        <v>336</v>
      </c>
      <c r="D18" s="319" t="s">
        <v>343</v>
      </c>
      <c r="E18" s="319" t="s">
        <v>318</v>
      </c>
    </row>
    <row r="19" spans="1:10" x14ac:dyDescent="0.2">
      <c r="A19" s="318" t="s">
        <v>11</v>
      </c>
      <c r="B19" s="319" t="s">
        <v>344</v>
      </c>
      <c r="C19" s="319" t="s">
        <v>345</v>
      </c>
      <c r="D19" s="319" t="s">
        <v>315</v>
      </c>
      <c r="E19" s="319" t="s">
        <v>333</v>
      </c>
    </row>
    <row r="20" spans="1:10" x14ac:dyDescent="0.2">
      <c r="A20" s="318" t="s">
        <v>8</v>
      </c>
      <c r="B20" s="319" t="s">
        <v>346</v>
      </c>
      <c r="C20" s="319" t="s">
        <v>347</v>
      </c>
      <c r="D20" s="319" t="s">
        <v>348</v>
      </c>
      <c r="E20" s="319" t="s">
        <v>350</v>
      </c>
    </row>
    <row r="21" spans="1:10" ht="12.75" customHeight="1" x14ac:dyDescent="0.2">
      <c r="A21" s="318" t="s">
        <v>14</v>
      </c>
      <c r="B21" s="319" t="s">
        <v>351</v>
      </c>
      <c r="C21" s="319" t="s">
        <v>352</v>
      </c>
      <c r="D21" s="319" t="s">
        <v>353</v>
      </c>
      <c r="E21" s="319" t="s">
        <v>307</v>
      </c>
    </row>
    <row r="22" spans="1:10" ht="12.75" customHeight="1" x14ac:dyDescent="0.2">
      <c r="A22" s="318" t="s">
        <v>9</v>
      </c>
      <c r="B22" s="319" t="s">
        <v>354</v>
      </c>
      <c r="C22" s="319" t="s">
        <v>355</v>
      </c>
      <c r="D22" s="319" t="s">
        <v>356</v>
      </c>
      <c r="E22" s="319" t="s">
        <v>357</v>
      </c>
      <c r="F22" s="320"/>
      <c r="G22" s="321"/>
      <c r="H22" s="321"/>
      <c r="I22" s="321"/>
      <c r="J22" s="321"/>
    </row>
    <row r="23" spans="1:10" ht="12.75" customHeight="1" x14ac:dyDescent="0.2">
      <c r="F23" s="320"/>
      <c r="G23" s="321"/>
      <c r="H23" s="321"/>
      <c r="I23" s="321"/>
      <c r="J23" s="321"/>
    </row>
    <row r="24" spans="1:10" ht="12.75" customHeight="1" x14ac:dyDescent="0.2">
      <c r="A24" s="466" t="s">
        <v>330</v>
      </c>
      <c r="B24" s="467"/>
      <c r="C24" s="467"/>
      <c r="D24" s="467"/>
      <c r="E24" s="467"/>
      <c r="F24" s="468"/>
      <c r="G24" s="321"/>
      <c r="H24" s="321"/>
      <c r="I24" s="321"/>
      <c r="J24" s="321"/>
    </row>
    <row r="25" spans="1:10" ht="12.75" customHeight="1" x14ac:dyDescent="0.2">
      <c r="A25" s="318" t="s">
        <v>1</v>
      </c>
      <c r="B25" s="319" t="s">
        <v>360</v>
      </c>
      <c r="C25" s="319" t="s">
        <v>361</v>
      </c>
      <c r="D25" s="319" t="s">
        <v>346</v>
      </c>
      <c r="E25" s="319" t="s">
        <v>343</v>
      </c>
      <c r="F25" s="319" t="s">
        <v>318</v>
      </c>
      <c r="G25" s="321"/>
      <c r="H25" s="321"/>
      <c r="I25" s="321"/>
      <c r="J25" s="321"/>
    </row>
    <row r="26" spans="1:10" ht="12.75" customHeight="1" x14ac:dyDescent="0.2">
      <c r="A26" s="318" t="s">
        <v>3</v>
      </c>
      <c r="B26" s="319" t="s">
        <v>362</v>
      </c>
      <c r="C26" s="319" t="s">
        <v>345</v>
      </c>
      <c r="D26" s="319" t="s">
        <v>363</v>
      </c>
      <c r="E26" s="319" t="s">
        <v>364</v>
      </c>
      <c r="F26" s="319" t="s">
        <v>319</v>
      </c>
      <c r="G26" s="321"/>
      <c r="H26" s="321"/>
      <c r="I26" s="321"/>
      <c r="J26" s="321"/>
    </row>
    <row r="27" spans="1:10" ht="12.75" customHeight="1" x14ac:dyDescent="0.2">
      <c r="A27" s="318" t="s">
        <v>5</v>
      </c>
      <c r="B27" s="319" t="s">
        <v>365</v>
      </c>
      <c r="C27" s="319" t="s">
        <v>336</v>
      </c>
      <c r="D27" s="319" t="s">
        <v>366</v>
      </c>
      <c r="E27" s="319" t="s">
        <v>306</v>
      </c>
      <c r="F27" s="319" t="s">
        <v>350</v>
      </c>
      <c r="G27" s="321"/>
      <c r="H27" s="321"/>
      <c r="I27" s="321"/>
      <c r="J27" s="321"/>
    </row>
    <row r="28" spans="1:10" ht="12.75" customHeight="1" x14ac:dyDescent="0.2">
      <c r="A28" s="318" t="s">
        <v>11</v>
      </c>
      <c r="B28" s="319" t="s">
        <v>367</v>
      </c>
      <c r="C28" s="319" t="s">
        <v>344</v>
      </c>
      <c r="D28" s="319" t="s">
        <v>368</v>
      </c>
      <c r="E28" s="319" t="s">
        <v>315</v>
      </c>
      <c r="F28" s="319" t="s">
        <v>333</v>
      </c>
      <c r="G28" s="321"/>
      <c r="H28" s="321"/>
      <c r="I28" s="321"/>
      <c r="J28" s="321"/>
    </row>
    <row r="29" spans="1:10" ht="12.75" customHeight="1" x14ac:dyDescent="0.2">
      <c r="A29" s="318" t="s">
        <v>8</v>
      </c>
      <c r="B29" s="319" t="s">
        <v>369</v>
      </c>
      <c r="C29" s="319" t="s">
        <v>347</v>
      </c>
      <c r="D29" s="319" t="s">
        <v>348</v>
      </c>
      <c r="E29" s="319" t="s">
        <v>370</v>
      </c>
      <c r="F29" s="319" t="s">
        <v>308</v>
      </c>
      <c r="G29" s="321"/>
      <c r="H29" s="321"/>
      <c r="I29" s="321"/>
      <c r="J29" s="321"/>
    </row>
    <row r="30" spans="1:10" ht="12.75" customHeight="1" x14ac:dyDescent="0.2">
      <c r="A30" s="318" t="s">
        <v>14</v>
      </c>
      <c r="B30" s="319" t="s">
        <v>371</v>
      </c>
      <c r="C30" s="319" t="s">
        <v>372</v>
      </c>
      <c r="D30" s="319" t="s">
        <v>352</v>
      </c>
      <c r="E30" s="319" t="s">
        <v>353</v>
      </c>
      <c r="F30" s="319" t="s">
        <v>307</v>
      </c>
      <c r="G30" s="321"/>
      <c r="H30" s="321"/>
      <c r="I30" s="321"/>
      <c r="J30" s="321"/>
    </row>
    <row r="31" spans="1:10" ht="12.75" customHeight="1" x14ac:dyDescent="0.2">
      <c r="A31" s="318" t="s">
        <v>9</v>
      </c>
      <c r="B31" s="319" t="s">
        <v>373</v>
      </c>
      <c r="C31" s="319" t="s">
        <v>355</v>
      </c>
      <c r="D31" s="319" t="s">
        <v>356</v>
      </c>
      <c r="E31" s="319" t="s">
        <v>357</v>
      </c>
      <c r="F31" s="319" t="s">
        <v>374</v>
      </c>
      <c r="G31" s="321"/>
      <c r="H31" s="321"/>
      <c r="I31" s="321"/>
      <c r="J31" s="321"/>
    </row>
    <row r="32" spans="1:10" ht="12.75" customHeight="1" x14ac:dyDescent="0.2">
      <c r="A32" s="318" t="s">
        <v>15</v>
      </c>
      <c r="B32" s="319" t="s">
        <v>375</v>
      </c>
      <c r="C32" s="319" t="s">
        <v>110</v>
      </c>
      <c r="D32" s="319" t="s">
        <v>337</v>
      </c>
      <c r="E32" s="319" t="s">
        <v>338</v>
      </c>
      <c r="F32" s="319" t="s">
        <v>349</v>
      </c>
      <c r="G32" s="321"/>
      <c r="H32" s="321"/>
      <c r="I32" s="321"/>
      <c r="J32" s="321"/>
    </row>
    <row r="33" spans="1:10" ht="12.75" customHeight="1" x14ac:dyDescent="0.2">
      <c r="A33" s="318" t="s">
        <v>0</v>
      </c>
      <c r="B33" s="319" t="s">
        <v>376</v>
      </c>
      <c r="C33" s="319" t="s">
        <v>340</v>
      </c>
      <c r="D33" s="319" t="s">
        <v>341</v>
      </c>
      <c r="E33" s="319" t="s">
        <v>377</v>
      </c>
      <c r="F33" s="319" t="s">
        <v>378</v>
      </c>
      <c r="G33" s="321"/>
      <c r="H33" s="321"/>
      <c r="I33" s="321"/>
      <c r="J33" s="321"/>
    </row>
    <row r="35" spans="1:10" ht="12.75" customHeight="1" x14ac:dyDescent="0.2">
      <c r="A35" s="466" t="s">
        <v>331</v>
      </c>
      <c r="B35" s="467"/>
      <c r="C35" s="467"/>
      <c r="D35" s="467"/>
      <c r="E35" s="467"/>
      <c r="F35" s="467"/>
      <c r="G35" s="468"/>
    </row>
    <row r="36" spans="1:10" x14ac:dyDescent="0.2">
      <c r="A36" s="318" t="s">
        <v>1</v>
      </c>
      <c r="B36" s="319" t="s">
        <v>379</v>
      </c>
      <c r="C36" s="319" t="s">
        <v>380</v>
      </c>
      <c r="D36" s="319" t="s">
        <v>369</v>
      </c>
      <c r="E36" s="319" t="s">
        <v>366</v>
      </c>
      <c r="F36" s="319" t="s">
        <v>306</v>
      </c>
      <c r="G36" s="319" t="s">
        <v>350</v>
      </c>
    </row>
    <row r="37" spans="1:10" x14ac:dyDescent="0.2">
      <c r="A37" s="318" t="s">
        <v>3</v>
      </c>
      <c r="B37" s="319" t="s">
        <v>381</v>
      </c>
      <c r="C37" s="319" t="s">
        <v>344</v>
      </c>
      <c r="D37" s="319" t="s">
        <v>368</v>
      </c>
      <c r="E37" s="319" t="s">
        <v>382</v>
      </c>
      <c r="F37" s="319" t="s">
        <v>383</v>
      </c>
      <c r="G37" s="319" t="s">
        <v>319</v>
      </c>
    </row>
    <row r="38" spans="1:10" x14ac:dyDescent="0.2">
      <c r="A38" s="318" t="s">
        <v>5</v>
      </c>
      <c r="B38" s="319" t="s">
        <v>384</v>
      </c>
      <c r="C38" s="319" t="s">
        <v>336</v>
      </c>
      <c r="D38" s="319" t="s">
        <v>385</v>
      </c>
      <c r="E38" s="319" t="s">
        <v>376</v>
      </c>
      <c r="F38" s="319" t="s">
        <v>370</v>
      </c>
      <c r="G38" s="319" t="s">
        <v>308</v>
      </c>
    </row>
    <row r="39" spans="1:10" x14ac:dyDescent="0.2">
      <c r="A39" s="318" t="s">
        <v>11</v>
      </c>
      <c r="B39" s="319" t="s">
        <v>386</v>
      </c>
      <c r="C39" s="319" t="s">
        <v>372</v>
      </c>
      <c r="D39" s="319" t="s">
        <v>362</v>
      </c>
      <c r="E39" s="319" t="s">
        <v>387</v>
      </c>
      <c r="F39" s="319" t="s">
        <v>315</v>
      </c>
      <c r="G39" s="319" t="s">
        <v>333</v>
      </c>
    </row>
    <row r="40" spans="1:10" x14ac:dyDescent="0.2">
      <c r="A40" s="318" t="s">
        <v>8</v>
      </c>
      <c r="B40" s="319" t="s">
        <v>388</v>
      </c>
      <c r="C40" s="319" t="s">
        <v>347</v>
      </c>
      <c r="D40" s="319" t="s">
        <v>348</v>
      </c>
      <c r="E40" s="319" t="s">
        <v>389</v>
      </c>
      <c r="F40" s="319" t="s">
        <v>390</v>
      </c>
      <c r="G40" s="319" t="s">
        <v>374</v>
      </c>
    </row>
    <row r="41" spans="1:10" x14ac:dyDescent="0.2">
      <c r="A41" s="318" t="s">
        <v>14</v>
      </c>
      <c r="B41" s="319" t="s">
        <v>391</v>
      </c>
      <c r="C41" s="319" t="s">
        <v>371</v>
      </c>
      <c r="D41" s="319" t="s">
        <v>392</v>
      </c>
      <c r="E41" s="319" t="s">
        <v>352</v>
      </c>
      <c r="F41" s="319" t="s">
        <v>353</v>
      </c>
      <c r="G41" s="319" t="s">
        <v>307</v>
      </c>
    </row>
    <row r="42" spans="1:10" x14ac:dyDescent="0.2">
      <c r="A42" s="318" t="s">
        <v>9</v>
      </c>
      <c r="B42" s="319" t="s">
        <v>393</v>
      </c>
      <c r="C42" s="319" t="s">
        <v>355</v>
      </c>
      <c r="D42" s="319" t="s">
        <v>356</v>
      </c>
      <c r="E42" s="319" t="s">
        <v>357</v>
      </c>
      <c r="F42" s="319" t="s">
        <v>394</v>
      </c>
      <c r="G42" s="319" t="s">
        <v>317</v>
      </c>
    </row>
    <row r="43" spans="1:10" x14ac:dyDescent="0.2">
      <c r="A43" s="318" t="s">
        <v>15</v>
      </c>
      <c r="B43" s="319" t="s">
        <v>395</v>
      </c>
      <c r="C43" s="319" t="s">
        <v>396</v>
      </c>
      <c r="D43" s="319" t="s">
        <v>110</v>
      </c>
      <c r="E43" s="319" t="s">
        <v>337</v>
      </c>
      <c r="F43" s="319" t="s">
        <v>338</v>
      </c>
      <c r="G43" s="319" t="s">
        <v>349</v>
      </c>
    </row>
    <row r="44" spans="1:10" x14ac:dyDescent="0.2">
      <c r="A44" s="318" t="s">
        <v>0</v>
      </c>
      <c r="B44" s="319" t="s">
        <v>397</v>
      </c>
      <c r="C44" s="319" t="s">
        <v>340</v>
      </c>
      <c r="D44" s="319" t="s">
        <v>341</v>
      </c>
      <c r="E44" s="319" t="s">
        <v>377</v>
      </c>
      <c r="F44" s="319" t="s">
        <v>378</v>
      </c>
      <c r="G44" s="319" t="s">
        <v>398</v>
      </c>
    </row>
    <row r="45" spans="1:10" x14ac:dyDescent="0.2">
      <c r="A45" s="318" t="s">
        <v>2</v>
      </c>
      <c r="B45" s="319" t="s">
        <v>399</v>
      </c>
      <c r="C45" s="319" t="s">
        <v>360</v>
      </c>
      <c r="D45" s="319" t="s">
        <v>361</v>
      </c>
      <c r="E45" s="319" t="s">
        <v>346</v>
      </c>
      <c r="F45" s="319" t="s">
        <v>343</v>
      </c>
      <c r="G45" s="319" t="s">
        <v>318</v>
      </c>
    </row>
    <row r="46" spans="1:10" x14ac:dyDescent="0.2">
      <c r="A46" s="318" t="s">
        <v>4</v>
      </c>
      <c r="B46" s="319" t="s">
        <v>400</v>
      </c>
      <c r="C46" s="319" t="s">
        <v>345</v>
      </c>
      <c r="D46" s="319" t="s">
        <v>363</v>
      </c>
      <c r="E46" s="319" t="s">
        <v>364</v>
      </c>
      <c r="F46" s="319" t="s">
        <v>401</v>
      </c>
      <c r="G46" s="319" t="s">
        <v>402</v>
      </c>
    </row>
    <row r="48" spans="1:10" ht="12.75" customHeight="1" x14ac:dyDescent="0.2">
      <c r="A48" s="466" t="s">
        <v>403</v>
      </c>
      <c r="B48" s="467"/>
      <c r="C48" s="467"/>
      <c r="D48" s="467"/>
      <c r="E48" s="467"/>
      <c r="F48" s="467"/>
      <c r="G48" s="467"/>
      <c r="H48" s="468"/>
    </row>
    <row r="49" spans="1:9" x14ac:dyDescent="0.2">
      <c r="A49" s="318" t="s">
        <v>1</v>
      </c>
      <c r="B49" s="319" t="s">
        <v>422</v>
      </c>
      <c r="C49" s="319" t="s">
        <v>423</v>
      </c>
      <c r="D49" s="319" t="s">
        <v>388</v>
      </c>
      <c r="E49" s="319" t="s">
        <v>385</v>
      </c>
      <c r="F49" s="319" t="s">
        <v>376</v>
      </c>
      <c r="G49" s="319" t="s">
        <v>370</v>
      </c>
      <c r="H49" s="319" t="s">
        <v>308</v>
      </c>
    </row>
    <row r="50" spans="1:9" x14ac:dyDescent="0.2">
      <c r="A50" s="318" t="s">
        <v>3</v>
      </c>
      <c r="B50" s="319" t="s">
        <v>424</v>
      </c>
      <c r="C50" s="319" t="s">
        <v>372</v>
      </c>
      <c r="D50" s="319" t="s">
        <v>362</v>
      </c>
      <c r="E50" s="319" t="s">
        <v>387</v>
      </c>
      <c r="F50" s="319" t="s">
        <v>425</v>
      </c>
      <c r="G50" s="319" t="s">
        <v>426</v>
      </c>
      <c r="H50" s="319" t="s">
        <v>319</v>
      </c>
    </row>
    <row r="51" spans="1:9" x14ac:dyDescent="0.2">
      <c r="A51" s="318" t="s">
        <v>5</v>
      </c>
      <c r="B51" s="319" t="s">
        <v>427</v>
      </c>
      <c r="C51" s="319" t="s">
        <v>336</v>
      </c>
      <c r="D51" s="319" t="s">
        <v>428</v>
      </c>
      <c r="E51" s="319" t="s">
        <v>397</v>
      </c>
      <c r="F51" s="319" t="s">
        <v>389</v>
      </c>
      <c r="G51" s="319" t="s">
        <v>390</v>
      </c>
      <c r="H51" s="319" t="s">
        <v>374</v>
      </c>
    </row>
    <row r="52" spans="1:9" x14ac:dyDescent="0.2">
      <c r="A52" s="318" t="s">
        <v>11</v>
      </c>
      <c r="B52" s="319" t="s">
        <v>429</v>
      </c>
      <c r="C52" s="319" t="s">
        <v>371</v>
      </c>
      <c r="D52" s="319" t="s">
        <v>392</v>
      </c>
      <c r="E52" s="319" t="s">
        <v>430</v>
      </c>
      <c r="F52" s="319" t="s">
        <v>431</v>
      </c>
      <c r="G52" s="319" t="s">
        <v>315</v>
      </c>
      <c r="H52" s="319" t="s">
        <v>333</v>
      </c>
    </row>
    <row r="53" spans="1:9" x14ac:dyDescent="0.2">
      <c r="A53" s="318" t="s">
        <v>8</v>
      </c>
      <c r="B53" s="319" t="s">
        <v>432</v>
      </c>
      <c r="C53" s="319" t="s">
        <v>347</v>
      </c>
      <c r="D53" s="319" t="s">
        <v>348</v>
      </c>
      <c r="E53" s="319" t="s">
        <v>433</v>
      </c>
      <c r="F53" s="319" t="s">
        <v>434</v>
      </c>
      <c r="G53" s="319" t="s">
        <v>394</v>
      </c>
      <c r="H53" s="319" t="s">
        <v>317</v>
      </c>
    </row>
    <row r="54" spans="1:9" x14ac:dyDescent="0.2">
      <c r="A54" s="318" t="s">
        <v>14</v>
      </c>
      <c r="B54" s="319" t="s">
        <v>435</v>
      </c>
      <c r="C54" s="319" t="s">
        <v>396</v>
      </c>
      <c r="D54" s="319" t="s">
        <v>386</v>
      </c>
      <c r="E54" s="319" t="s">
        <v>436</v>
      </c>
      <c r="F54" s="319" t="s">
        <v>352</v>
      </c>
      <c r="G54" s="319" t="s">
        <v>353</v>
      </c>
      <c r="H54" s="319" t="s">
        <v>307</v>
      </c>
    </row>
    <row r="55" spans="1:9" x14ac:dyDescent="0.2">
      <c r="A55" s="318" t="s">
        <v>9</v>
      </c>
      <c r="B55" s="319" t="s">
        <v>437</v>
      </c>
      <c r="C55" s="319" t="s">
        <v>355</v>
      </c>
      <c r="D55" s="319" t="s">
        <v>356</v>
      </c>
      <c r="E55" s="319" t="s">
        <v>357</v>
      </c>
      <c r="F55" s="319" t="s">
        <v>438</v>
      </c>
      <c r="G55" s="319" t="s">
        <v>316</v>
      </c>
      <c r="H55" s="319" t="s">
        <v>398</v>
      </c>
    </row>
    <row r="56" spans="1:9" x14ac:dyDescent="0.2">
      <c r="A56" s="318" t="s">
        <v>15</v>
      </c>
      <c r="B56" s="319" t="s">
        <v>439</v>
      </c>
      <c r="C56" s="319" t="s">
        <v>395</v>
      </c>
      <c r="D56" s="319" t="s">
        <v>440</v>
      </c>
      <c r="E56" s="319" t="s">
        <v>110</v>
      </c>
      <c r="F56" s="319" t="s">
        <v>337</v>
      </c>
      <c r="G56" s="319" t="s">
        <v>338</v>
      </c>
      <c r="H56" s="319" t="s">
        <v>349</v>
      </c>
    </row>
    <row r="57" spans="1:9" x14ac:dyDescent="0.2">
      <c r="A57" s="318" t="s">
        <v>0</v>
      </c>
      <c r="B57" s="319" t="s">
        <v>441</v>
      </c>
      <c r="C57" s="319" t="s">
        <v>340</v>
      </c>
      <c r="D57" s="319" t="s">
        <v>341</v>
      </c>
      <c r="E57" s="319" t="s">
        <v>377</v>
      </c>
      <c r="F57" s="319" t="s">
        <v>378</v>
      </c>
      <c r="G57" s="319" t="s">
        <v>442</v>
      </c>
      <c r="H57" s="319" t="s">
        <v>310</v>
      </c>
    </row>
    <row r="58" spans="1:9" x14ac:dyDescent="0.2">
      <c r="A58" s="318" t="s">
        <v>2</v>
      </c>
      <c r="B58" s="319" t="s">
        <v>443</v>
      </c>
      <c r="C58" s="319" t="s">
        <v>444</v>
      </c>
      <c r="D58" s="319" t="s">
        <v>360</v>
      </c>
      <c r="E58" s="319" t="s">
        <v>361</v>
      </c>
      <c r="F58" s="319" t="s">
        <v>346</v>
      </c>
      <c r="G58" s="319" t="s">
        <v>343</v>
      </c>
      <c r="H58" s="319" t="s">
        <v>318</v>
      </c>
    </row>
    <row r="59" spans="1:9" x14ac:dyDescent="0.2">
      <c r="A59" s="318" t="s">
        <v>4</v>
      </c>
      <c r="B59" s="319" t="s">
        <v>445</v>
      </c>
      <c r="C59" s="319" t="s">
        <v>345</v>
      </c>
      <c r="D59" s="319" t="s">
        <v>363</v>
      </c>
      <c r="E59" s="319" t="s">
        <v>364</v>
      </c>
      <c r="F59" s="319" t="s">
        <v>401</v>
      </c>
      <c r="G59" s="319" t="s">
        <v>402</v>
      </c>
      <c r="H59" s="319" t="s">
        <v>446</v>
      </c>
    </row>
    <row r="60" spans="1:9" x14ac:dyDescent="0.2">
      <c r="A60" s="318" t="s">
        <v>10</v>
      </c>
      <c r="B60" s="319" t="s">
        <v>404</v>
      </c>
      <c r="C60" s="319" t="s">
        <v>379</v>
      </c>
      <c r="D60" s="319" t="s">
        <v>380</v>
      </c>
      <c r="E60" s="319" t="s">
        <v>369</v>
      </c>
      <c r="F60" s="319" t="s">
        <v>366</v>
      </c>
      <c r="G60" s="319" t="s">
        <v>306</v>
      </c>
      <c r="H60" s="319" t="s">
        <v>350</v>
      </c>
    </row>
    <row r="61" spans="1:9" x14ac:dyDescent="0.2">
      <c r="A61" s="318" t="s">
        <v>6</v>
      </c>
      <c r="B61" s="319" t="s">
        <v>447</v>
      </c>
      <c r="C61" s="319" t="s">
        <v>344</v>
      </c>
      <c r="D61" s="319" t="s">
        <v>368</v>
      </c>
      <c r="E61" s="319" t="s">
        <v>382</v>
      </c>
      <c r="F61" s="319" t="s">
        <v>383</v>
      </c>
      <c r="G61" s="319" t="s">
        <v>448</v>
      </c>
      <c r="H61" s="319" t="s">
        <v>449</v>
      </c>
    </row>
    <row r="63" spans="1:9" ht="12.75" customHeight="1" x14ac:dyDescent="0.2">
      <c r="A63" s="466" t="s">
        <v>405</v>
      </c>
      <c r="B63" s="467"/>
      <c r="C63" s="467"/>
      <c r="D63" s="467"/>
      <c r="E63" s="467"/>
      <c r="F63" s="467"/>
      <c r="G63" s="467"/>
      <c r="H63" s="467"/>
      <c r="I63" s="468"/>
    </row>
    <row r="64" spans="1:9" x14ac:dyDescent="0.2">
      <c r="A64" s="318" t="s">
        <v>1</v>
      </c>
      <c r="B64" s="319" t="s">
        <v>314</v>
      </c>
      <c r="C64" s="319" t="s">
        <v>450</v>
      </c>
      <c r="D64" s="319" t="s">
        <v>432</v>
      </c>
      <c r="E64" s="319" t="s">
        <v>428</v>
      </c>
      <c r="F64" s="319" t="s">
        <v>397</v>
      </c>
      <c r="G64" s="319" t="s">
        <v>389</v>
      </c>
      <c r="H64" s="319" t="s">
        <v>390</v>
      </c>
      <c r="I64" s="319" t="s">
        <v>374</v>
      </c>
    </row>
    <row r="65" spans="1:10" x14ac:dyDescent="0.2">
      <c r="A65" s="318" t="s">
        <v>3</v>
      </c>
      <c r="B65" s="319" t="s">
        <v>451</v>
      </c>
      <c r="C65" s="319" t="s">
        <v>371</v>
      </c>
      <c r="D65" s="319" t="s">
        <v>392</v>
      </c>
      <c r="E65" s="319" t="s">
        <v>430</v>
      </c>
      <c r="F65" s="319" t="s">
        <v>431</v>
      </c>
      <c r="G65" s="319" t="s">
        <v>452</v>
      </c>
      <c r="H65" s="319" t="s">
        <v>453</v>
      </c>
      <c r="I65" s="319" t="s">
        <v>319</v>
      </c>
    </row>
    <row r="66" spans="1:10" x14ac:dyDescent="0.2">
      <c r="A66" s="318" t="s">
        <v>5</v>
      </c>
      <c r="B66" s="319" t="s">
        <v>454</v>
      </c>
      <c r="C66" s="319" t="s">
        <v>336</v>
      </c>
      <c r="D66" s="319" t="s">
        <v>455</v>
      </c>
      <c r="E66" s="319" t="s">
        <v>441</v>
      </c>
      <c r="F66" s="319" t="s">
        <v>433</v>
      </c>
      <c r="G66" s="319" t="s">
        <v>434</v>
      </c>
      <c r="H66" s="319" t="s">
        <v>394</v>
      </c>
      <c r="I66" s="319" t="s">
        <v>317</v>
      </c>
    </row>
    <row r="67" spans="1:10" x14ac:dyDescent="0.2">
      <c r="A67" s="318" t="s">
        <v>11</v>
      </c>
      <c r="B67" s="319" t="s">
        <v>456</v>
      </c>
      <c r="C67" s="319" t="s">
        <v>396</v>
      </c>
      <c r="D67" s="319" t="s">
        <v>386</v>
      </c>
      <c r="E67" s="319" t="s">
        <v>436</v>
      </c>
      <c r="F67" s="319" t="s">
        <v>457</v>
      </c>
      <c r="G67" s="319" t="s">
        <v>458</v>
      </c>
      <c r="H67" s="319" t="s">
        <v>315</v>
      </c>
      <c r="I67" s="319" t="s">
        <v>333</v>
      </c>
    </row>
    <row r="68" spans="1:10" x14ac:dyDescent="0.2">
      <c r="A68" s="318" t="s">
        <v>8</v>
      </c>
      <c r="B68" s="319" t="s">
        <v>459</v>
      </c>
      <c r="C68" s="319" t="s">
        <v>347</v>
      </c>
      <c r="D68" s="319" t="s">
        <v>348</v>
      </c>
      <c r="E68" s="319" t="s">
        <v>460</v>
      </c>
      <c r="F68" s="319" t="s">
        <v>447</v>
      </c>
      <c r="G68" s="319" t="s">
        <v>438</v>
      </c>
      <c r="H68" s="319" t="s">
        <v>316</v>
      </c>
      <c r="I68" s="319" t="s">
        <v>398</v>
      </c>
    </row>
    <row r="69" spans="1:10" x14ac:dyDescent="0.2">
      <c r="A69" s="318" t="s">
        <v>14</v>
      </c>
      <c r="B69" s="319" t="s">
        <v>461</v>
      </c>
      <c r="C69" s="319" t="s">
        <v>395</v>
      </c>
      <c r="D69" s="319" t="s">
        <v>440</v>
      </c>
      <c r="E69" s="319" t="s">
        <v>424</v>
      </c>
      <c r="F69" s="319" t="s">
        <v>462</v>
      </c>
      <c r="G69" s="319" t="s">
        <v>352</v>
      </c>
      <c r="H69" s="319" t="s">
        <v>353</v>
      </c>
      <c r="I69" s="319" t="s">
        <v>307</v>
      </c>
    </row>
    <row r="70" spans="1:10" x14ac:dyDescent="0.2">
      <c r="A70" s="318" t="s">
        <v>9</v>
      </c>
      <c r="B70" s="319" t="s">
        <v>463</v>
      </c>
      <c r="C70" s="319" t="s">
        <v>355</v>
      </c>
      <c r="D70" s="319" t="s">
        <v>356</v>
      </c>
      <c r="E70" s="319" t="s">
        <v>357</v>
      </c>
      <c r="F70" s="319" t="s">
        <v>464</v>
      </c>
      <c r="G70" s="319" t="s">
        <v>465</v>
      </c>
      <c r="H70" s="319" t="s">
        <v>442</v>
      </c>
      <c r="I70" s="319" t="s">
        <v>310</v>
      </c>
    </row>
    <row r="71" spans="1:10" x14ac:dyDescent="0.2">
      <c r="A71" s="318" t="s">
        <v>15</v>
      </c>
      <c r="B71" s="319" t="s">
        <v>466</v>
      </c>
      <c r="C71" s="319" t="s">
        <v>444</v>
      </c>
      <c r="D71" s="319" t="s">
        <v>435</v>
      </c>
      <c r="E71" s="319" t="s">
        <v>467</v>
      </c>
      <c r="F71" s="319" t="s">
        <v>110</v>
      </c>
      <c r="G71" s="319" t="s">
        <v>337</v>
      </c>
      <c r="H71" s="319" t="s">
        <v>338</v>
      </c>
      <c r="I71" s="319" t="s">
        <v>349</v>
      </c>
    </row>
    <row r="72" spans="1:10" x14ac:dyDescent="0.2">
      <c r="A72" s="318" t="s">
        <v>0</v>
      </c>
      <c r="B72" s="319" t="s">
        <v>468</v>
      </c>
      <c r="C72" s="319" t="s">
        <v>340</v>
      </c>
      <c r="D72" s="319" t="s">
        <v>341</v>
      </c>
      <c r="E72" s="319" t="s">
        <v>377</v>
      </c>
      <c r="F72" s="319" t="s">
        <v>378</v>
      </c>
      <c r="G72" s="319" t="s">
        <v>469</v>
      </c>
      <c r="H72" s="319" t="s">
        <v>470</v>
      </c>
      <c r="I72" s="319" t="s">
        <v>446</v>
      </c>
    </row>
    <row r="73" spans="1:10" x14ac:dyDescent="0.2">
      <c r="A73" s="318" t="s">
        <v>2</v>
      </c>
      <c r="B73" s="319" t="s">
        <v>406</v>
      </c>
      <c r="C73" s="319" t="s">
        <v>443</v>
      </c>
      <c r="D73" s="319" t="s">
        <v>471</v>
      </c>
      <c r="E73" s="319" t="s">
        <v>360</v>
      </c>
      <c r="F73" s="319" t="s">
        <v>361</v>
      </c>
      <c r="G73" s="319" t="s">
        <v>346</v>
      </c>
      <c r="H73" s="319" t="s">
        <v>343</v>
      </c>
      <c r="I73" s="319" t="s">
        <v>318</v>
      </c>
    </row>
    <row r="74" spans="1:10" x14ac:dyDescent="0.2">
      <c r="A74" s="318" t="s">
        <v>4</v>
      </c>
      <c r="B74" s="319" t="s">
        <v>472</v>
      </c>
      <c r="C74" s="319" t="s">
        <v>345</v>
      </c>
      <c r="D74" s="319" t="s">
        <v>363</v>
      </c>
      <c r="E74" s="319" t="s">
        <v>364</v>
      </c>
      <c r="F74" s="319" t="s">
        <v>401</v>
      </c>
      <c r="G74" s="319" t="s">
        <v>402</v>
      </c>
      <c r="H74" s="319" t="s">
        <v>473</v>
      </c>
      <c r="I74" s="319" t="s">
        <v>321</v>
      </c>
    </row>
    <row r="75" spans="1:10" x14ac:dyDescent="0.2">
      <c r="A75" s="318" t="s">
        <v>10</v>
      </c>
      <c r="B75" s="319" t="s">
        <v>407</v>
      </c>
      <c r="C75" s="319" t="s">
        <v>408</v>
      </c>
      <c r="D75" s="319" t="s">
        <v>379</v>
      </c>
      <c r="E75" s="319" t="s">
        <v>380</v>
      </c>
      <c r="F75" s="319" t="s">
        <v>369</v>
      </c>
      <c r="G75" s="319" t="s">
        <v>366</v>
      </c>
      <c r="H75" s="319" t="s">
        <v>306</v>
      </c>
      <c r="I75" s="319" t="s">
        <v>350</v>
      </c>
    </row>
    <row r="76" spans="1:10" x14ac:dyDescent="0.2">
      <c r="A76" s="318" t="s">
        <v>6</v>
      </c>
      <c r="B76" s="319" t="s">
        <v>474</v>
      </c>
      <c r="C76" s="319" t="s">
        <v>344</v>
      </c>
      <c r="D76" s="319" t="s">
        <v>368</v>
      </c>
      <c r="E76" s="319" t="s">
        <v>382</v>
      </c>
      <c r="F76" s="319" t="s">
        <v>383</v>
      </c>
      <c r="G76" s="319" t="s">
        <v>448</v>
      </c>
      <c r="H76" s="319" t="s">
        <v>449</v>
      </c>
      <c r="I76" s="319" t="s">
        <v>409</v>
      </c>
    </row>
    <row r="77" spans="1:10" x14ac:dyDescent="0.2">
      <c r="A77" s="318" t="s">
        <v>12</v>
      </c>
      <c r="B77" s="319" t="s">
        <v>410</v>
      </c>
      <c r="C77" s="319" t="s">
        <v>422</v>
      </c>
      <c r="D77" s="319" t="s">
        <v>423</v>
      </c>
      <c r="E77" s="319" t="s">
        <v>388</v>
      </c>
      <c r="F77" s="319" t="s">
        <v>385</v>
      </c>
      <c r="G77" s="319" t="s">
        <v>376</v>
      </c>
      <c r="H77" s="319" t="s">
        <v>370</v>
      </c>
      <c r="I77" s="319" t="s">
        <v>308</v>
      </c>
    </row>
    <row r="78" spans="1:10" x14ac:dyDescent="0.2">
      <c r="A78" s="318" t="s">
        <v>7</v>
      </c>
      <c r="B78" s="319" t="s">
        <v>475</v>
      </c>
      <c r="C78" s="319" t="s">
        <v>372</v>
      </c>
      <c r="D78" s="319" t="s">
        <v>362</v>
      </c>
      <c r="E78" s="319" t="s">
        <v>387</v>
      </c>
      <c r="F78" s="319" t="s">
        <v>425</v>
      </c>
      <c r="G78" s="319" t="s">
        <v>426</v>
      </c>
      <c r="H78" s="319" t="s">
        <v>476</v>
      </c>
      <c r="I78" s="319" t="s">
        <v>477</v>
      </c>
    </row>
    <row r="80" spans="1:10" ht="12.75" customHeight="1" x14ac:dyDescent="0.2">
      <c r="A80" s="469" t="s">
        <v>411</v>
      </c>
      <c r="B80" s="470"/>
      <c r="C80" s="470"/>
      <c r="D80" s="470"/>
      <c r="E80" s="470"/>
      <c r="F80" s="470"/>
      <c r="G80" s="470"/>
      <c r="H80" s="470"/>
      <c r="I80" s="470"/>
      <c r="J80" s="471"/>
    </row>
    <row r="81" spans="1:10" x14ac:dyDescent="0.2">
      <c r="A81" s="318" t="s">
        <v>1</v>
      </c>
      <c r="B81" s="319" t="s">
        <v>478</v>
      </c>
      <c r="C81" s="319" t="s">
        <v>479</v>
      </c>
      <c r="D81" s="319" t="s">
        <v>459</v>
      </c>
      <c r="E81" s="319" t="s">
        <v>455</v>
      </c>
      <c r="F81" s="319" t="s">
        <v>441</v>
      </c>
      <c r="G81" s="319" t="s">
        <v>433</v>
      </c>
      <c r="H81" s="319" t="s">
        <v>434</v>
      </c>
      <c r="I81" s="319" t="s">
        <v>394</v>
      </c>
      <c r="J81" s="319" t="s">
        <v>317</v>
      </c>
    </row>
    <row r="82" spans="1:10" x14ac:dyDescent="0.2">
      <c r="A82" s="318" t="s">
        <v>3</v>
      </c>
      <c r="B82" s="319" t="s">
        <v>480</v>
      </c>
      <c r="C82" s="319" t="s">
        <v>396</v>
      </c>
      <c r="D82" s="319" t="s">
        <v>386</v>
      </c>
      <c r="E82" s="319" t="s">
        <v>436</v>
      </c>
      <c r="F82" s="319" t="s">
        <v>457</v>
      </c>
      <c r="G82" s="319" t="s">
        <v>458</v>
      </c>
      <c r="H82" s="319" t="s">
        <v>481</v>
      </c>
      <c r="I82" s="319" t="s">
        <v>482</v>
      </c>
      <c r="J82" s="319" t="s">
        <v>319</v>
      </c>
    </row>
    <row r="83" spans="1:10" x14ac:dyDescent="0.2">
      <c r="A83" s="318" t="s">
        <v>5</v>
      </c>
      <c r="B83" s="319" t="s">
        <v>483</v>
      </c>
      <c r="C83" s="319" t="s">
        <v>336</v>
      </c>
      <c r="D83" s="319" t="s">
        <v>484</v>
      </c>
      <c r="E83" s="319" t="s">
        <v>468</v>
      </c>
      <c r="F83" s="319" t="s">
        <v>460</v>
      </c>
      <c r="G83" s="319" t="s">
        <v>447</v>
      </c>
      <c r="H83" s="319" t="s">
        <v>438</v>
      </c>
      <c r="I83" s="319" t="s">
        <v>316</v>
      </c>
      <c r="J83" s="319" t="s">
        <v>398</v>
      </c>
    </row>
    <row r="84" spans="1:10" x14ac:dyDescent="0.2">
      <c r="A84" s="318" t="s">
        <v>11</v>
      </c>
      <c r="B84" s="319" t="s">
        <v>485</v>
      </c>
      <c r="C84" s="319" t="s">
        <v>395</v>
      </c>
      <c r="D84" s="319" t="s">
        <v>440</v>
      </c>
      <c r="E84" s="319" t="s">
        <v>424</v>
      </c>
      <c r="F84" s="319" t="s">
        <v>462</v>
      </c>
      <c r="G84" s="319" t="s">
        <v>486</v>
      </c>
      <c r="H84" s="319" t="s">
        <v>487</v>
      </c>
      <c r="I84" s="319" t="s">
        <v>315</v>
      </c>
      <c r="J84" s="319" t="s">
        <v>333</v>
      </c>
    </row>
    <row r="85" spans="1:10" x14ac:dyDescent="0.2">
      <c r="A85" s="318" t="s">
        <v>8</v>
      </c>
      <c r="B85" s="319" t="s">
        <v>488</v>
      </c>
      <c r="C85" s="319" t="s">
        <v>347</v>
      </c>
      <c r="D85" s="319" t="s">
        <v>348</v>
      </c>
      <c r="E85" s="319" t="s">
        <v>489</v>
      </c>
      <c r="F85" s="319" t="s">
        <v>474</v>
      </c>
      <c r="G85" s="319" t="s">
        <v>464</v>
      </c>
      <c r="H85" s="319" t="s">
        <v>465</v>
      </c>
      <c r="I85" s="319" t="s">
        <v>442</v>
      </c>
      <c r="J85" s="319" t="s">
        <v>310</v>
      </c>
    </row>
    <row r="86" spans="1:10" x14ac:dyDescent="0.2">
      <c r="A86" s="318" t="s">
        <v>14</v>
      </c>
      <c r="B86" s="319" t="s">
        <v>490</v>
      </c>
      <c r="C86" s="319" t="s">
        <v>444</v>
      </c>
      <c r="D86" s="319" t="s">
        <v>435</v>
      </c>
      <c r="E86" s="319" t="s">
        <v>467</v>
      </c>
      <c r="F86" s="319" t="s">
        <v>491</v>
      </c>
      <c r="G86" s="319" t="s">
        <v>492</v>
      </c>
      <c r="H86" s="319" t="s">
        <v>352</v>
      </c>
      <c r="I86" s="319" t="s">
        <v>353</v>
      </c>
      <c r="J86" s="319" t="s">
        <v>307</v>
      </c>
    </row>
    <row r="87" spans="1:10" x14ac:dyDescent="0.2">
      <c r="A87" s="318" t="s">
        <v>9</v>
      </c>
      <c r="B87" s="319" t="s">
        <v>493</v>
      </c>
      <c r="C87" s="319" t="s">
        <v>355</v>
      </c>
      <c r="D87" s="319" t="s">
        <v>356</v>
      </c>
      <c r="E87" s="319" t="s">
        <v>357</v>
      </c>
      <c r="F87" s="319" t="s">
        <v>494</v>
      </c>
      <c r="G87" s="319" t="s">
        <v>111</v>
      </c>
      <c r="H87" s="319" t="s">
        <v>469</v>
      </c>
      <c r="I87" s="319" t="s">
        <v>470</v>
      </c>
      <c r="J87" s="319" t="s">
        <v>446</v>
      </c>
    </row>
    <row r="88" spans="1:10" x14ac:dyDescent="0.2">
      <c r="A88" s="318" t="s">
        <v>15</v>
      </c>
      <c r="B88" s="319" t="s">
        <v>412</v>
      </c>
      <c r="C88" s="319" t="s">
        <v>443</v>
      </c>
      <c r="D88" s="319" t="s">
        <v>471</v>
      </c>
      <c r="E88" s="319" t="s">
        <v>456</v>
      </c>
      <c r="F88" s="319" t="s">
        <v>495</v>
      </c>
      <c r="G88" s="319" t="s">
        <v>110</v>
      </c>
      <c r="H88" s="319" t="s">
        <v>337</v>
      </c>
      <c r="I88" s="319" t="s">
        <v>338</v>
      </c>
      <c r="J88" s="319" t="s">
        <v>349</v>
      </c>
    </row>
    <row r="89" spans="1:10" x14ac:dyDescent="0.2">
      <c r="A89" s="318" t="s">
        <v>0</v>
      </c>
      <c r="B89" s="319" t="s">
        <v>496</v>
      </c>
      <c r="C89" s="319" t="s">
        <v>340</v>
      </c>
      <c r="D89" s="319" t="s">
        <v>341</v>
      </c>
      <c r="E89" s="319" t="s">
        <v>377</v>
      </c>
      <c r="F89" s="319" t="s">
        <v>378</v>
      </c>
      <c r="G89" s="319" t="s">
        <v>497</v>
      </c>
      <c r="H89" s="319" t="s">
        <v>498</v>
      </c>
      <c r="I89" s="319" t="s">
        <v>473</v>
      </c>
      <c r="J89" s="319" t="s">
        <v>321</v>
      </c>
    </row>
    <row r="90" spans="1:10" x14ac:dyDescent="0.2">
      <c r="A90" s="318" t="s">
        <v>2</v>
      </c>
      <c r="B90" s="319" t="s">
        <v>413</v>
      </c>
      <c r="C90" s="319" t="s">
        <v>408</v>
      </c>
      <c r="D90" s="319" t="s">
        <v>466</v>
      </c>
      <c r="E90" s="319" t="s">
        <v>499</v>
      </c>
      <c r="F90" s="319" t="s">
        <v>360</v>
      </c>
      <c r="G90" s="319" t="s">
        <v>361</v>
      </c>
      <c r="H90" s="319" t="s">
        <v>346</v>
      </c>
      <c r="I90" s="319" t="s">
        <v>343</v>
      </c>
      <c r="J90" s="319" t="s">
        <v>318</v>
      </c>
    </row>
    <row r="91" spans="1:10" x14ac:dyDescent="0.2">
      <c r="A91" s="318" t="s">
        <v>4</v>
      </c>
      <c r="B91" s="319" t="s">
        <v>500</v>
      </c>
      <c r="C91" s="319" t="s">
        <v>345</v>
      </c>
      <c r="D91" s="319" t="s">
        <v>363</v>
      </c>
      <c r="E91" s="319" t="s">
        <v>364</v>
      </c>
      <c r="F91" s="319" t="s">
        <v>401</v>
      </c>
      <c r="G91" s="319" t="s">
        <v>402</v>
      </c>
      <c r="H91" s="319" t="s">
        <v>501</v>
      </c>
      <c r="I91" s="319" t="s">
        <v>309</v>
      </c>
      <c r="J91" s="319" t="s">
        <v>409</v>
      </c>
    </row>
    <row r="92" spans="1:10" x14ac:dyDescent="0.2">
      <c r="A92" s="318" t="s">
        <v>10</v>
      </c>
      <c r="B92" s="319" t="s">
        <v>414</v>
      </c>
      <c r="C92" s="319" t="s">
        <v>407</v>
      </c>
      <c r="D92" s="319" t="s">
        <v>415</v>
      </c>
      <c r="E92" s="319" t="s">
        <v>379</v>
      </c>
      <c r="F92" s="319" t="s">
        <v>380</v>
      </c>
      <c r="G92" s="319" t="s">
        <v>369</v>
      </c>
      <c r="H92" s="319" t="s">
        <v>366</v>
      </c>
      <c r="I92" s="319" t="s">
        <v>306</v>
      </c>
      <c r="J92" s="319" t="s">
        <v>350</v>
      </c>
    </row>
    <row r="93" spans="1:10" x14ac:dyDescent="0.2">
      <c r="A93" s="318" t="s">
        <v>6</v>
      </c>
      <c r="B93" s="319" t="s">
        <v>502</v>
      </c>
      <c r="C93" s="319" t="s">
        <v>344</v>
      </c>
      <c r="D93" s="319" t="s">
        <v>368</v>
      </c>
      <c r="E93" s="319" t="s">
        <v>382</v>
      </c>
      <c r="F93" s="319" t="s">
        <v>383</v>
      </c>
      <c r="G93" s="319" t="s">
        <v>448</v>
      </c>
      <c r="H93" s="319" t="s">
        <v>449</v>
      </c>
      <c r="I93" s="319" t="s">
        <v>416</v>
      </c>
      <c r="J93" s="319" t="s">
        <v>311</v>
      </c>
    </row>
    <row r="94" spans="1:10" x14ac:dyDescent="0.2">
      <c r="A94" s="318" t="s">
        <v>12</v>
      </c>
      <c r="B94" s="319" t="s">
        <v>417</v>
      </c>
      <c r="C94" s="319" t="s">
        <v>418</v>
      </c>
      <c r="D94" s="319" t="s">
        <v>422</v>
      </c>
      <c r="E94" s="319" t="s">
        <v>423</v>
      </c>
      <c r="F94" s="319" t="s">
        <v>388</v>
      </c>
      <c r="G94" s="319" t="s">
        <v>385</v>
      </c>
      <c r="H94" s="319" t="s">
        <v>376</v>
      </c>
      <c r="I94" s="319" t="s">
        <v>370</v>
      </c>
      <c r="J94" s="319" t="s">
        <v>308</v>
      </c>
    </row>
    <row r="95" spans="1:10" x14ac:dyDescent="0.2">
      <c r="A95" s="318" t="s">
        <v>7</v>
      </c>
      <c r="B95" s="319" t="s">
        <v>503</v>
      </c>
      <c r="C95" s="319" t="s">
        <v>372</v>
      </c>
      <c r="D95" s="319" t="s">
        <v>362</v>
      </c>
      <c r="E95" s="319" t="s">
        <v>387</v>
      </c>
      <c r="F95" s="319" t="s">
        <v>425</v>
      </c>
      <c r="G95" s="319" t="s">
        <v>426</v>
      </c>
      <c r="H95" s="319" t="s">
        <v>476</v>
      </c>
      <c r="I95" s="319" t="s">
        <v>477</v>
      </c>
      <c r="J95" s="319" t="s">
        <v>419</v>
      </c>
    </row>
    <row r="96" spans="1:10" x14ac:dyDescent="0.2">
      <c r="A96" s="318" t="s">
        <v>13</v>
      </c>
      <c r="B96" s="319" t="s">
        <v>420</v>
      </c>
      <c r="C96" s="319" t="s">
        <v>314</v>
      </c>
      <c r="D96" s="319" t="s">
        <v>450</v>
      </c>
      <c r="E96" s="319" t="s">
        <v>432</v>
      </c>
      <c r="F96" s="319" t="s">
        <v>428</v>
      </c>
      <c r="G96" s="319" t="s">
        <v>397</v>
      </c>
      <c r="H96" s="319" t="s">
        <v>389</v>
      </c>
      <c r="I96" s="319" t="s">
        <v>390</v>
      </c>
      <c r="J96" s="319" t="s">
        <v>374</v>
      </c>
    </row>
    <row r="97" spans="1:10" x14ac:dyDescent="0.2">
      <c r="A97" s="318" t="s">
        <v>421</v>
      </c>
      <c r="B97" s="319" t="s">
        <v>504</v>
      </c>
      <c r="C97" s="319" t="s">
        <v>371</v>
      </c>
      <c r="D97" s="319" t="s">
        <v>392</v>
      </c>
      <c r="E97" s="319" t="s">
        <v>430</v>
      </c>
      <c r="F97" s="319" t="s">
        <v>431</v>
      </c>
      <c r="G97" s="319" t="s">
        <v>452</v>
      </c>
      <c r="H97" s="319" t="s">
        <v>453</v>
      </c>
      <c r="I97" s="319" t="s">
        <v>505</v>
      </c>
      <c r="J97" s="319" t="s">
        <v>506</v>
      </c>
    </row>
  </sheetData>
  <mergeCells count="9">
    <mergeCell ref="A63:I63"/>
    <mergeCell ref="A80:J80"/>
    <mergeCell ref="A1:J1"/>
    <mergeCell ref="A3:C3"/>
    <mergeCell ref="A8:D8"/>
    <mergeCell ref="A15:E15"/>
    <mergeCell ref="A24:F24"/>
    <mergeCell ref="A35:G35"/>
    <mergeCell ref="A48:H48"/>
  </mergeCells>
  <pageMargins left="0.70866141732283472" right="0.70866141732283472" top="0.59055118110236227" bottom="0.59055118110236227" header="0.31496062992125984" footer="0.31496062992125984"/>
  <pageSetup paperSize="9" scale="96" orientation="portrait" r:id="rId1"/>
  <headerFooter>
    <oddFooter>&amp;LUnrestricted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C7DB-9ED8-4D94-98AB-902860D3D9CA}">
  <dimension ref="A1:S470"/>
  <sheetViews>
    <sheetView showGridLines="0" view="pageBreakPreview" topLeftCell="A158" zoomScaleNormal="100" zoomScaleSheetLayoutView="100" workbookViewId="0">
      <selection activeCell="E164" sqref="E164:J164"/>
    </sheetView>
  </sheetViews>
  <sheetFormatPr defaultRowHeight="12.75" x14ac:dyDescent="0.2"/>
  <cols>
    <col min="1" max="1" width="6.85546875" style="363" customWidth="1"/>
    <col min="2" max="2" width="5.5703125" style="363" bestFit="1" customWidth="1"/>
    <col min="3" max="4" width="23.85546875" style="364" customWidth="1"/>
    <col min="5" max="9" width="6.5703125" style="354" customWidth="1"/>
    <col min="10" max="10" width="9.42578125" style="365" customWidth="1"/>
    <col min="11" max="11" width="5.42578125" style="353" bestFit="1" customWidth="1"/>
    <col min="12" max="12" width="21.140625" style="353" customWidth="1"/>
    <col min="13" max="13" width="15" style="353" customWidth="1"/>
    <col min="14" max="14" width="15" style="354" customWidth="1"/>
    <col min="15" max="15" width="27.140625" style="354" bestFit="1" customWidth="1"/>
    <col min="16" max="18" width="5.7109375" style="354" bestFit="1" customWidth="1"/>
    <col min="19" max="19" width="8.140625" style="365" bestFit="1" customWidth="1"/>
    <col min="20" max="16384" width="9.140625" style="354"/>
  </cols>
  <sheetData>
    <row r="1" spans="1:14" ht="14.45" customHeight="1" x14ac:dyDescent="0.2">
      <c r="A1" s="348"/>
      <c r="B1" s="349" t="s">
        <v>60</v>
      </c>
      <c r="C1" s="350" t="s">
        <v>96</v>
      </c>
      <c r="D1" s="350" t="s">
        <v>97</v>
      </c>
      <c r="E1" s="351" t="s">
        <v>162</v>
      </c>
      <c r="F1" s="351" t="s">
        <v>163</v>
      </c>
      <c r="G1" s="351" t="s">
        <v>164</v>
      </c>
      <c r="H1" s="351" t="s">
        <v>221</v>
      </c>
      <c r="I1" s="351" t="s">
        <v>220</v>
      </c>
      <c r="J1" s="352" t="s">
        <v>161</v>
      </c>
    </row>
    <row r="2" spans="1:14" ht="23.25" x14ac:dyDescent="0.2">
      <c r="A2" s="380" t="str">
        <f>'1-zapasy'!A3</f>
        <v>A1-1</v>
      </c>
      <c r="B2" s="356"/>
      <c r="C2" s="357" t="str">
        <f>LEFT('1-zapasy'!B3,SEARCH("(",'1-zapasy'!B3)-1)</f>
        <v xml:space="preserve">GRABOVSKÝ Jaroslav </v>
      </c>
      <c r="D2" s="357" t="e">
        <f>LEFT('1-zapasy'!C3,SEARCH("(",'1-zapasy'!C3)-1)</f>
        <v>#VALUE!</v>
      </c>
      <c r="E2" s="358"/>
      <c r="F2" s="359"/>
      <c r="G2" s="359"/>
      <c r="H2" s="359"/>
      <c r="I2" s="359"/>
      <c r="J2" s="360"/>
    </row>
    <row r="3" spans="1:14" ht="24" thickBot="1" x14ac:dyDescent="0.25">
      <c r="A3" s="425" t="s">
        <v>165</v>
      </c>
      <c r="B3" s="426"/>
      <c r="C3" s="361" t="str">
        <f>C6</f>
        <v xml:space="preserve">ŠTĚPÁNEK Ondřej </v>
      </c>
      <c r="D3" s="362" t="s">
        <v>166</v>
      </c>
      <c r="E3" s="427"/>
      <c r="F3" s="427"/>
      <c r="G3" s="427"/>
      <c r="H3" s="427"/>
      <c r="I3" s="427"/>
      <c r="J3" s="428"/>
    </row>
    <row r="4" spans="1:14" ht="13.5" thickBot="1" x14ac:dyDescent="0.25"/>
    <row r="5" spans="1:14" ht="14.45" customHeight="1" x14ac:dyDescent="0.2">
      <c r="A5" s="348"/>
      <c r="B5" s="349" t="s">
        <v>60</v>
      </c>
      <c r="C5" s="350" t="s">
        <v>96</v>
      </c>
      <c r="D5" s="350" t="s">
        <v>97</v>
      </c>
      <c r="E5" s="351" t="s">
        <v>162</v>
      </c>
      <c r="F5" s="351" t="s">
        <v>163</v>
      </c>
      <c r="G5" s="351" t="s">
        <v>164</v>
      </c>
      <c r="H5" s="351" t="s">
        <v>221</v>
      </c>
      <c r="I5" s="351" t="s">
        <v>220</v>
      </c>
      <c r="J5" s="352" t="s">
        <v>161</v>
      </c>
    </row>
    <row r="6" spans="1:14" ht="23.25" x14ac:dyDescent="0.2">
      <c r="A6" s="380" t="str">
        <f>'1-zapasy'!A4</f>
        <v>A1-2</v>
      </c>
      <c r="B6" s="356"/>
      <c r="C6" s="357" t="str">
        <f>LEFT('1-zapasy'!B4,SEARCH("(",'1-zapasy'!B4)-1)</f>
        <v xml:space="preserve">ŠTĚPÁNEK Ondřej </v>
      </c>
      <c r="D6" s="357" t="str">
        <f>LEFT('1-zapasy'!C4,SEARCH("(",'1-zapasy'!C4)-1)</f>
        <v xml:space="preserve">KURDIOVSKÝ Matěj </v>
      </c>
      <c r="E6" s="359"/>
      <c r="F6" s="359"/>
      <c r="G6" s="359"/>
      <c r="H6" s="359"/>
      <c r="I6" s="359"/>
      <c r="J6" s="360"/>
      <c r="N6" s="366"/>
    </row>
    <row r="7" spans="1:14" ht="24" thickBot="1" x14ac:dyDescent="0.25">
      <c r="A7" s="425" t="s">
        <v>165</v>
      </c>
      <c r="B7" s="426"/>
      <c r="C7" s="361" t="str">
        <f>C2</f>
        <v xml:space="preserve">GRABOVSKÝ Jaroslav </v>
      </c>
      <c r="D7" s="362" t="s">
        <v>166</v>
      </c>
      <c r="E7" s="427"/>
      <c r="F7" s="427"/>
      <c r="G7" s="427"/>
      <c r="H7" s="427"/>
      <c r="I7" s="427"/>
      <c r="J7" s="428"/>
    </row>
    <row r="8" spans="1:14" ht="12" customHeight="1" thickBot="1" x14ac:dyDescent="0.25">
      <c r="A8" s="367"/>
    </row>
    <row r="9" spans="1:14" ht="14.45" customHeight="1" x14ac:dyDescent="0.2">
      <c r="A9" s="348"/>
      <c r="B9" s="349" t="s">
        <v>60</v>
      </c>
      <c r="C9" s="350" t="s">
        <v>96</v>
      </c>
      <c r="D9" s="350" t="s">
        <v>97</v>
      </c>
      <c r="E9" s="351" t="s">
        <v>162</v>
      </c>
      <c r="F9" s="351" t="s">
        <v>163</v>
      </c>
      <c r="G9" s="351" t="s">
        <v>164</v>
      </c>
      <c r="H9" s="351" t="s">
        <v>221</v>
      </c>
      <c r="I9" s="351" t="s">
        <v>220</v>
      </c>
      <c r="J9" s="352" t="s">
        <v>161</v>
      </c>
    </row>
    <row r="10" spans="1:14" ht="23.25" x14ac:dyDescent="0.2">
      <c r="A10" s="380" t="str">
        <f>'1-zapasy'!A5</f>
        <v>A1-3</v>
      </c>
      <c r="B10" s="356"/>
      <c r="C10" s="357" t="e">
        <f>LEFT('1-zapasy'!B5,SEARCH("(",'1-zapasy'!B5)-1)</f>
        <v>#VALUE!</v>
      </c>
      <c r="D10" s="357" t="str">
        <f>LEFT('1-zapasy'!C5,SEARCH("(",'1-zapasy'!C5)-1)</f>
        <v xml:space="preserve">ŠTĚPÁNEK Ondřej </v>
      </c>
      <c r="E10" s="359"/>
      <c r="F10" s="359"/>
      <c r="G10" s="359"/>
      <c r="H10" s="359"/>
      <c r="I10" s="359"/>
      <c r="J10" s="360"/>
    </row>
    <row r="11" spans="1:14" ht="24" thickBot="1" x14ac:dyDescent="0.25">
      <c r="A11" s="425" t="s">
        <v>165</v>
      </c>
      <c r="B11" s="426"/>
      <c r="C11" s="361" t="str">
        <f>C14</f>
        <v xml:space="preserve">KURDIOVSKÝ Matěj </v>
      </c>
      <c r="D11" s="362" t="s">
        <v>166</v>
      </c>
      <c r="E11" s="427"/>
      <c r="F11" s="427"/>
      <c r="G11" s="427"/>
      <c r="H11" s="427"/>
      <c r="I11" s="427"/>
      <c r="J11" s="428"/>
    </row>
    <row r="12" spans="1:14" ht="12" customHeight="1" thickBot="1" x14ac:dyDescent="0.25"/>
    <row r="13" spans="1:14" ht="14.45" customHeight="1" x14ac:dyDescent="0.2">
      <c r="A13" s="348"/>
      <c r="B13" s="349" t="s">
        <v>60</v>
      </c>
      <c r="C13" s="350" t="s">
        <v>96</v>
      </c>
      <c r="D13" s="350" t="s">
        <v>97</v>
      </c>
      <c r="E13" s="351" t="s">
        <v>162</v>
      </c>
      <c r="F13" s="351" t="s">
        <v>163</v>
      </c>
      <c r="G13" s="351" t="s">
        <v>164</v>
      </c>
      <c r="H13" s="351" t="s">
        <v>221</v>
      </c>
      <c r="I13" s="351" t="s">
        <v>220</v>
      </c>
      <c r="J13" s="352" t="s">
        <v>161</v>
      </c>
    </row>
    <row r="14" spans="1:14" ht="23.25" x14ac:dyDescent="0.2">
      <c r="A14" s="380" t="str">
        <f>'1-zapasy'!A6</f>
        <v>A1-4</v>
      </c>
      <c r="B14" s="356"/>
      <c r="C14" s="357" t="str">
        <f>LEFT('1-zapasy'!B6,SEARCH("(",'1-zapasy'!B6)-1)</f>
        <v xml:space="preserve">KURDIOVSKÝ Matěj </v>
      </c>
      <c r="D14" s="357" t="str">
        <f>LEFT('1-zapasy'!C6,SEARCH("(",'1-zapasy'!C6)-1)</f>
        <v xml:space="preserve">GRABOVSKÝ Jaroslav </v>
      </c>
      <c r="E14" s="359"/>
      <c r="F14" s="359"/>
      <c r="G14" s="359"/>
      <c r="H14" s="359"/>
      <c r="I14" s="359"/>
      <c r="J14" s="360"/>
    </row>
    <row r="15" spans="1:14" ht="24" thickBot="1" x14ac:dyDescent="0.25">
      <c r="A15" s="425" t="s">
        <v>165</v>
      </c>
      <c r="B15" s="426"/>
      <c r="C15" s="361" t="e">
        <f>C10</f>
        <v>#VALUE!</v>
      </c>
      <c r="D15" s="362" t="s">
        <v>166</v>
      </c>
      <c r="E15" s="427"/>
      <c r="F15" s="427"/>
      <c r="G15" s="427"/>
      <c r="H15" s="427"/>
      <c r="I15" s="427"/>
      <c r="J15" s="428"/>
    </row>
    <row r="16" spans="1:14" ht="12" customHeight="1" thickBot="1" x14ac:dyDescent="0.25">
      <c r="A16" s="367"/>
    </row>
    <row r="17" spans="1:10" ht="14.45" customHeight="1" x14ac:dyDescent="0.2">
      <c r="A17" s="348"/>
      <c r="B17" s="349" t="s">
        <v>60</v>
      </c>
      <c r="C17" s="350" t="s">
        <v>96</v>
      </c>
      <c r="D17" s="350" t="s">
        <v>97</v>
      </c>
      <c r="E17" s="351" t="s">
        <v>162</v>
      </c>
      <c r="F17" s="351" t="s">
        <v>163</v>
      </c>
      <c r="G17" s="351" t="s">
        <v>164</v>
      </c>
      <c r="H17" s="351" t="s">
        <v>221</v>
      </c>
      <c r="I17" s="351" t="s">
        <v>220</v>
      </c>
      <c r="J17" s="352" t="s">
        <v>161</v>
      </c>
    </row>
    <row r="18" spans="1:10" ht="23.25" x14ac:dyDescent="0.2">
      <c r="A18" s="380" t="str">
        <f>'1-zapasy'!A7</f>
        <v>A1-5</v>
      </c>
      <c r="B18" s="356"/>
      <c r="C18" s="357" t="str">
        <f>LEFT('1-zapasy'!B7,SEARCH("(",'1-zapasy'!B7)-1)</f>
        <v xml:space="preserve">KURDIOVSKÝ Matěj </v>
      </c>
      <c r="D18" s="357" t="e">
        <f>LEFT('1-zapasy'!C7,SEARCH("(",'1-zapasy'!C7)-1)</f>
        <v>#VALUE!</v>
      </c>
      <c r="E18" s="359"/>
      <c r="F18" s="359"/>
      <c r="G18" s="359"/>
      <c r="H18" s="359"/>
      <c r="I18" s="359"/>
      <c r="J18" s="360"/>
    </row>
    <row r="19" spans="1:10" ht="24" thickBot="1" x14ac:dyDescent="0.25">
      <c r="A19" s="425" t="s">
        <v>165</v>
      </c>
      <c r="B19" s="426"/>
      <c r="C19" s="361" t="str">
        <f>C3</f>
        <v xml:space="preserve">ŠTĚPÁNEK Ondřej </v>
      </c>
      <c r="D19" s="362" t="s">
        <v>166</v>
      </c>
      <c r="E19" s="427"/>
      <c r="F19" s="427"/>
      <c r="G19" s="427"/>
      <c r="H19" s="427"/>
      <c r="I19" s="427"/>
      <c r="J19" s="428"/>
    </row>
    <row r="20" spans="1:10" ht="13.5" thickBot="1" x14ac:dyDescent="0.25"/>
    <row r="21" spans="1:10" ht="14.45" customHeight="1" x14ac:dyDescent="0.2">
      <c r="A21" s="348"/>
      <c r="B21" s="349" t="s">
        <v>60</v>
      </c>
      <c r="C21" s="350" t="s">
        <v>96</v>
      </c>
      <c r="D21" s="350" t="s">
        <v>97</v>
      </c>
      <c r="E21" s="351" t="s">
        <v>162</v>
      </c>
      <c r="F21" s="351" t="s">
        <v>163</v>
      </c>
      <c r="G21" s="351" t="s">
        <v>164</v>
      </c>
      <c r="H21" s="351" t="s">
        <v>221</v>
      </c>
      <c r="I21" s="351" t="s">
        <v>220</v>
      </c>
      <c r="J21" s="352" t="s">
        <v>161</v>
      </c>
    </row>
    <row r="22" spans="1:10" ht="23.25" x14ac:dyDescent="0.2">
      <c r="A22" s="380" t="str">
        <f>'1-zapasy'!A8</f>
        <v>A1-6</v>
      </c>
      <c r="B22" s="356"/>
      <c r="C22" s="357" t="str">
        <f>LEFT('1-zapasy'!B8,SEARCH("(",'1-zapasy'!B8)-1)</f>
        <v xml:space="preserve">GRABOVSKÝ Jaroslav </v>
      </c>
      <c r="D22" s="357" t="str">
        <f>LEFT('1-zapasy'!C8,SEARCH("(",'1-zapasy'!C8)-1)</f>
        <v xml:space="preserve">ŠTĚPÁNEK Ondřej </v>
      </c>
      <c r="E22" s="359"/>
      <c r="F22" s="359"/>
      <c r="G22" s="359"/>
      <c r="H22" s="359"/>
      <c r="I22" s="359"/>
      <c r="J22" s="360"/>
    </row>
    <row r="23" spans="1:10" ht="24" thickBot="1" x14ac:dyDescent="0.25">
      <c r="A23" s="425" t="s">
        <v>165</v>
      </c>
      <c r="B23" s="426"/>
      <c r="C23" s="361" t="str">
        <f>C11</f>
        <v xml:space="preserve">KURDIOVSKÝ Matěj </v>
      </c>
      <c r="D23" s="362" t="s">
        <v>166</v>
      </c>
      <c r="E23" s="427"/>
      <c r="F23" s="427"/>
      <c r="G23" s="427"/>
      <c r="H23" s="427"/>
      <c r="I23" s="427"/>
      <c r="J23" s="428"/>
    </row>
    <row r="24" spans="1:10" ht="12" customHeight="1" thickBot="1" x14ac:dyDescent="0.25">
      <c r="A24" s="367"/>
    </row>
    <row r="25" spans="1:10" x14ac:dyDescent="0.2">
      <c r="A25" s="348"/>
      <c r="B25" s="349" t="s">
        <v>60</v>
      </c>
      <c r="C25" s="350" t="s">
        <v>96</v>
      </c>
      <c r="D25" s="350" t="s">
        <v>97</v>
      </c>
      <c r="E25" s="351" t="s">
        <v>162</v>
      </c>
      <c r="F25" s="351" t="s">
        <v>163</v>
      </c>
      <c r="G25" s="351" t="s">
        <v>164</v>
      </c>
      <c r="H25" s="351" t="s">
        <v>221</v>
      </c>
      <c r="I25" s="351" t="s">
        <v>220</v>
      </c>
      <c r="J25" s="352" t="s">
        <v>161</v>
      </c>
    </row>
    <row r="26" spans="1:10" ht="23.25" x14ac:dyDescent="0.2">
      <c r="A26" s="380" t="str">
        <f>'1-zapasy'!A11</f>
        <v>A2-1</v>
      </c>
      <c r="B26" s="356"/>
      <c r="C26" s="357" t="str">
        <f>LEFT('1-zapasy'!B11,SEARCH("(",'1-zapasy'!B11)-1)</f>
        <v xml:space="preserve">NOVOHRADSKÁ Karolína </v>
      </c>
      <c r="D26" s="357" t="str">
        <f>LEFT('1-zapasy'!C11,SEARCH("(",'1-zapasy'!C11)-1)</f>
        <v xml:space="preserve">GRÜNWALD Michal </v>
      </c>
      <c r="E26" s="358"/>
      <c r="F26" s="359"/>
      <c r="G26" s="359"/>
      <c r="H26" s="359"/>
      <c r="I26" s="359"/>
      <c r="J26" s="360"/>
    </row>
    <row r="27" spans="1:10" ht="24" thickBot="1" x14ac:dyDescent="0.25">
      <c r="A27" s="425" t="s">
        <v>165</v>
      </c>
      <c r="B27" s="426"/>
      <c r="C27" s="361" t="str">
        <f>C30</f>
        <v xml:space="preserve">HOLUBOVÁ Simona </v>
      </c>
      <c r="D27" s="362" t="s">
        <v>166</v>
      </c>
      <c r="E27" s="427"/>
      <c r="F27" s="427"/>
      <c r="G27" s="427"/>
      <c r="H27" s="427"/>
      <c r="I27" s="427"/>
      <c r="J27" s="428"/>
    </row>
    <row r="28" spans="1:10" ht="13.5" thickBot="1" x14ac:dyDescent="0.25"/>
    <row r="29" spans="1:10" x14ac:dyDescent="0.2">
      <c r="A29" s="348"/>
      <c r="B29" s="349" t="s">
        <v>60</v>
      </c>
      <c r="C29" s="350" t="s">
        <v>96</v>
      </c>
      <c r="D29" s="350" t="s">
        <v>97</v>
      </c>
      <c r="E29" s="351" t="s">
        <v>162</v>
      </c>
      <c r="F29" s="351" t="s">
        <v>163</v>
      </c>
      <c r="G29" s="351" t="s">
        <v>164</v>
      </c>
      <c r="H29" s="351" t="s">
        <v>221</v>
      </c>
      <c r="I29" s="351" t="s">
        <v>220</v>
      </c>
      <c r="J29" s="352" t="s">
        <v>161</v>
      </c>
    </row>
    <row r="30" spans="1:10" ht="23.25" x14ac:dyDescent="0.2">
      <c r="A30" s="380" t="str">
        <f>'1-zapasy'!A12</f>
        <v>A2-2</v>
      </c>
      <c r="B30" s="356"/>
      <c r="C30" s="357" t="str">
        <f>LEFT('1-zapasy'!B12,SEARCH("(",'1-zapasy'!B12)-1)</f>
        <v xml:space="preserve">HOLUBOVÁ Simona </v>
      </c>
      <c r="D30" s="357" t="str">
        <f>LEFT('1-zapasy'!C12,SEARCH("(",'1-zapasy'!C12)-1)</f>
        <v xml:space="preserve">HORNÍČEK Lukáš </v>
      </c>
      <c r="E30" s="359"/>
      <c r="F30" s="359"/>
      <c r="G30" s="359"/>
      <c r="H30" s="359"/>
      <c r="I30" s="359"/>
      <c r="J30" s="360"/>
    </row>
    <row r="31" spans="1:10" ht="24" thickBot="1" x14ac:dyDescent="0.25">
      <c r="A31" s="425" t="s">
        <v>165</v>
      </c>
      <c r="B31" s="426"/>
      <c r="C31" s="361" t="str">
        <f>C26</f>
        <v xml:space="preserve">NOVOHRADSKÁ Karolína </v>
      </c>
      <c r="D31" s="362" t="s">
        <v>166</v>
      </c>
      <c r="E31" s="427"/>
      <c r="F31" s="427"/>
      <c r="G31" s="427"/>
      <c r="H31" s="427"/>
      <c r="I31" s="427"/>
      <c r="J31" s="428"/>
    </row>
    <row r="32" spans="1:10" ht="13.5" thickBot="1" x14ac:dyDescent="0.25">
      <c r="A32" s="367"/>
    </row>
    <row r="33" spans="1:10" x14ac:dyDescent="0.2">
      <c r="A33" s="348"/>
      <c r="B33" s="349" t="s">
        <v>60</v>
      </c>
      <c r="C33" s="350" t="s">
        <v>96</v>
      </c>
      <c r="D33" s="350" t="s">
        <v>97</v>
      </c>
      <c r="E33" s="351" t="s">
        <v>162</v>
      </c>
      <c r="F33" s="351" t="s">
        <v>163</v>
      </c>
      <c r="G33" s="351" t="s">
        <v>164</v>
      </c>
      <c r="H33" s="351" t="s">
        <v>221</v>
      </c>
      <c r="I33" s="351" t="s">
        <v>220</v>
      </c>
      <c r="J33" s="352" t="s">
        <v>161</v>
      </c>
    </row>
    <row r="34" spans="1:10" ht="23.25" x14ac:dyDescent="0.2">
      <c r="A34" s="380" t="str">
        <f>'1-zapasy'!A13</f>
        <v>A2-3</v>
      </c>
      <c r="B34" s="356"/>
      <c r="C34" s="357" t="str">
        <f>LEFT('1-zapasy'!B13,SEARCH("(",'1-zapasy'!B13)-1)</f>
        <v xml:space="preserve">GRÜNWALD Michal </v>
      </c>
      <c r="D34" s="357" t="str">
        <f>LEFT('1-zapasy'!C13,SEARCH("(",'1-zapasy'!C13)-1)</f>
        <v xml:space="preserve">HOLUBOVÁ Simona </v>
      </c>
      <c r="E34" s="359"/>
      <c r="F34" s="359"/>
      <c r="G34" s="359"/>
      <c r="H34" s="359"/>
      <c r="I34" s="359"/>
      <c r="J34" s="360"/>
    </row>
    <row r="35" spans="1:10" ht="24" thickBot="1" x14ac:dyDescent="0.25">
      <c r="A35" s="425" t="s">
        <v>165</v>
      </c>
      <c r="B35" s="426"/>
      <c r="C35" s="361" t="str">
        <f>D30</f>
        <v xml:space="preserve">HORNÍČEK Lukáš </v>
      </c>
      <c r="D35" s="362" t="s">
        <v>166</v>
      </c>
      <c r="E35" s="427"/>
      <c r="F35" s="427"/>
      <c r="G35" s="427"/>
      <c r="H35" s="427"/>
      <c r="I35" s="427"/>
      <c r="J35" s="428"/>
    </row>
    <row r="36" spans="1:10" ht="13.5" thickBot="1" x14ac:dyDescent="0.25">
      <c r="A36" s="367"/>
    </row>
    <row r="37" spans="1:10" x14ac:dyDescent="0.2">
      <c r="A37" s="348"/>
      <c r="B37" s="349" t="s">
        <v>60</v>
      </c>
      <c r="C37" s="350" t="s">
        <v>96</v>
      </c>
      <c r="D37" s="350" t="s">
        <v>97</v>
      </c>
      <c r="E37" s="351" t="s">
        <v>162</v>
      </c>
      <c r="F37" s="351" t="s">
        <v>163</v>
      </c>
      <c r="G37" s="351" t="s">
        <v>164</v>
      </c>
      <c r="H37" s="351" t="s">
        <v>221</v>
      </c>
      <c r="I37" s="351" t="s">
        <v>220</v>
      </c>
      <c r="J37" s="352" t="s">
        <v>161</v>
      </c>
    </row>
    <row r="38" spans="1:10" ht="23.25" x14ac:dyDescent="0.2">
      <c r="A38" s="380" t="str">
        <f>'1-zapasy'!A14</f>
        <v>A2-4</v>
      </c>
      <c r="B38" s="356"/>
      <c r="C38" s="357" t="str">
        <f>LEFT('1-zapasy'!B14,SEARCH("(",'1-zapasy'!B14)-1)</f>
        <v xml:space="preserve">HORNÍČEK Lukáš </v>
      </c>
      <c r="D38" s="357" t="str">
        <f>LEFT('1-zapasy'!C14,SEARCH("(",'1-zapasy'!C14)-1)</f>
        <v xml:space="preserve">NOVOHRADSKÁ Karolína </v>
      </c>
      <c r="E38" s="359"/>
      <c r="F38" s="359"/>
      <c r="G38" s="359"/>
      <c r="H38" s="359"/>
      <c r="I38" s="359"/>
      <c r="J38" s="360"/>
    </row>
    <row r="39" spans="1:10" ht="24" thickBot="1" x14ac:dyDescent="0.25">
      <c r="A39" s="425" t="s">
        <v>165</v>
      </c>
      <c r="B39" s="426"/>
      <c r="C39" s="361" t="str">
        <f>C34</f>
        <v xml:space="preserve">GRÜNWALD Michal </v>
      </c>
      <c r="D39" s="362" t="s">
        <v>166</v>
      </c>
      <c r="E39" s="427"/>
      <c r="F39" s="427"/>
      <c r="G39" s="427"/>
      <c r="H39" s="427"/>
      <c r="I39" s="427"/>
      <c r="J39" s="428"/>
    </row>
    <row r="40" spans="1:10" ht="13.5" thickBot="1" x14ac:dyDescent="0.25">
      <c r="A40" s="367"/>
    </row>
    <row r="41" spans="1:10" x14ac:dyDescent="0.2">
      <c r="A41" s="348"/>
      <c r="B41" s="349" t="s">
        <v>60</v>
      </c>
      <c r="C41" s="350" t="s">
        <v>96</v>
      </c>
      <c r="D41" s="350" t="s">
        <v>97</v>
      </c>
      <c r="E41" s="351" t="s">
        <v>162</v>
      </c>
      <c r="F41" s="351" t="s">
        <v>163</v>
      </c>
      <c r="G41" s="351" t="s">
        <v>164</v>
      </c>
      <c r="H41" s="351" t="s">
        <v>221</v>
      </c>
      <c r="I41" s="351" t="s">
        <v>220</v>
      </c>
      <c r="J41" s="352" t="s">
        <v>161</v>
      </c>
    </row>
    <row r="42" spans="1:10" ht="23.25" x14ac:dyDescent="0.2">
      <c r="A42" s="380" t="str">
        <f>'1-zapasy'!A15</f>
        <v>A2-5</v>
      </c>
      <c r="B42" s="356"/>
      <c r="C42" s="357" t="str">
        <f>LEFT('1-zapasy'!B15,SEARCH("(",'1-zapasy'!B15)-1)</f>
        <v xml:space="preserve">HORNÍČEK Lukáš </v>
      </c>
      <c r="D42" s="357" t="str">
        <f>LEFT('1-zapasy'!C15,SEARCH("(",'1-zapasy'!C15)-1)</f>
        <v xml:space="preserve">GRÜNWALD Michal </v>
      </c>
      <c r="E42" s="359"/>
      <c r="F42" s="359"/>
      <c r="G42" s="359"/>
      <c r="H42" s="359"/>
      <c r="I42" s="359"/>
      <c r="J42" s="360"/>
    </row>
    <row r="43" spans="1:10" ht="24" thickBot="1" x14ac:dyDescent="0.25">
      <c r="A43" s="425" t="s">
        <v>165</v>
      </c>
      <c r="B43" s="426"/>
      <c r="C43" s="361" t="str">
        <f>C27</f>
        <v xml:space="preserve">HOLUBOVÁ Simona </v>
      </c>
      <c r="D43" s="362" t="s">
        <v>166</v>
      </c>
      <c r="E43" s="427"/>
      <c r="F43" s="427"/>
      <c r="G43" s="427"/>
      <c r="H43" s="427"/>
      <c r="I43" s="427"/>
      <c r="J43" s="428"/>
    </row>
    <row r="44" spans="1:10" ht="13.5" thickBot="1" x14ac:dyDescent="0.25"/>
    <row r="45" spans="1:10" x14ac:dyDescent="0.2">
      <c r="A45" s="348"/>
      <c r="B45" s="349" t="s">
        <v>60</v>
      </c>
      <c r="C45" s="350" t="s">
        <v>96</v>
      </c>
      <c r="D45" s="350" t="s">
        <v>97</v>
      </c>
      <c r="E45" s="351" t="s">
        <v>162</v>
      </c>
      <c r="F45" s="351" t="s">
        <v>163</v>
      </c>
      <c r="G45" s="351" t="s">
        <v>164</v>
      </c>
      <c r="H45" s="351" t="s">
        <v>221</v>
      </c>
      <c r="I45" s="351" t="s">
        <v>220</v>
      </c>
      <c r="J45" s="352" t="s">
        <v>161</v>
      </c>
    </row>
    <row r="46" spans="1:10" ht="23.25" x14ac:dyDescent="0.2">
      <c r="A46" s="380" t="str">
        <f>'1-zapasy'!A16</f>
        <v>A2-6</v>
      </c>
      <c r="B46" s="356"/>
      <c r="C46" s="357" t="str">
        <f>LEFT('1-zapasy'!B16,SEARCH("(",'1-zapasy'!B16)-1)</f>
        <v xml:space="preserve">NOVOHRADSKÁ Karolína </v>
      </c>
      <c r="D46" s="357" t="str">
        <f>LEFT('1-zapasy'!C16,SEARCH("(",'1-zapasy'!C16)-1)</f>
        <v xml:space="preserve">HOLUBOVÁ Simona </v>
      </c>
      <c r="E46" s="359"/>
      <c r="F46" s="359"/>
      <c r="G46" s="359"/>
      <c r="H46" s="359"/>
      <c r="I46" s="359"/>
      <c r="J46" s="360"/>
    </row>
    <row r="47" spans="1:10" ht="24" thickBot="1" x14ac:dyDescent="0.25">
      <c r="A47" s="425" t="s">
        <v>165</v>
      </c>
      <c r="B47" s="426"/>
      <c r="C47" s="361" t="str">
        <f>C35</f>
        <v xml:space="preserve">HORNÍČEK Lukáš </v>
      </c>
      <c r="D47" s="362" t="s">
        <v>166</v>
      </c>
      <c r="E47" s="427"/>
      <c r="F47" s="427"/>
      <c r="G47" s="427"/>
      <c r="H47" s="427"/>
      <c r="I47" s="427"/>
      <c r="J47" s="428"/>
    </row>
    <row r="48" spans="1:10" x14ac:dyDescent="0.2">
      <c r="A48" s="348"/>
      <c r="B48" s="349" t="s">
        <v>60</v>
      </c>
      <c r="C48" s="350" t="s">
        <v>96</v>
      </c>
      <c r="D48" s="350" t="s">
        <v>97</v>
      </c>
      <c r="E48" s="351" t="s">
        <v>162</v>
      </c>
      <c r="F48" s="351" t="s">
        <v>163</v>
      </c>
      <c r="G48" s="351" t="s">
        <v>164</v>
      </c>
      <c r="H48" s="351" t="s">
        <v>221</v>
      </c>
      <c r="I48" s="351" t="s">
        <v>220</v>
      </c>
      <c r="J48" s="352" t="s">
        <v>161</v>
      </c>
    </row>
    <row r="49" spans="1:10" ht="23.25" x14ac:dyDescent="0.2">
      <c r="A49" s="380" t="str">
        <f>'1-zapasy'!A19</f>
        <v>A3-1</v>
      </c>
      <c r="B49" s="356"/>
      <c r="C49" s="357" t="str">
        <f>LEFT('1-zapasy'!B19,SEARCH("(",'1-zapasy'!B19)-1)</f>
        <v xml:space="preserve">MASOPUSTOVÁ Lucie </v>
      </c>
      <c r="D49" s="357" t="str">
        <f>LEFT('1-zapasy'!C19,SEARCH("(",'1-zapasy'!C19)-1)</f>
        <v xml:space="preserve">VINCENEC Oliver </v>
      </c>
      <c r="E49" s="358"/>
      <c r="F49" s="359"/>
      <c r="G49" s="359"/>
      <c r="H49" s="359"/>
      <c r="I49" s="359"/>
      <c r="J49" s="360"/>
    </row>
    <row r="50" spans="1:10" ht="24" thickBot="1" x14ac:dyDescent="0.25">
      <c r="A50" s="425" t="s">
        <v>165</v>
      </c>
      <c r="B50" s="426"/>
      <c r="C50" s="361" t="str">
        <f>C53</f>
        <v xml:space="preserve">KREJČÍ David </v>
      </c>
      <c r="D50" s="362" t="s">
        <v>166</v>
      </c>
      <c r="E50" s="427"/>
      <c r="F50" s="427"/>
      <c r="G50" s="427"/>
      <c r="H50" s="427"/>
      <c r="I50" s="427"/>
      <c r="J50" s="428"/>
    </row>
    <row r="51" spans="1:10" ht="13.5" thickBot="1" x14ac:dyDescent="0.25"/>
    <row r="52" spans="1:10" x14ac:dyDescent="0.2">
      <c r="A52" s="348"/>
      <c r="B52" s="349" t="s">
        <v>60</v>
      </c>
      <c r="C52" s="350" t="s">
        <v>96</v>
      </c>
      <c r="D52" s="350" t="s">
        <v>97</v>
      </c>
      <c r="E52" s="351" t="s">
        <v>162</v>
      </c>
      <c r="F52" s="351" t="s">
        <v>163</v>
      </c>
      <c r="G52" s="351" t="s">
        <v>164</v>
      </c>
      <c r="H52" s="351" t="s">
        <v>221</v>
      </c>
      <c r="I52" s="351" t="s">
        <v>220</v>
      </c>
      <c r="J52" s="352" t="s">
        <v>161</v>
      </c>
    </row>
    <row r="53" spans="1:10" ht="23.25" x14ac:dyDescent="0.2">
      <c r="A53" s="380" t="str">
        <f>'1-zapasy'!A20</f>
        <v>A3-2</v>
      </c>
      <c r="B53" s="356"/>
      <c r="C53" s="357" t="str">
        <f>LEFT('1-zapasy'!B20,SEARCH("(",'1-zapasy'!B20)-1)</f>
        <v xml:space="preserve">KREJČÍ David </v>
      </c>
      <c r="D53" s="357" t="str">
        <f>LEFT('1-zapasy'!C20,SEARCH("(",'1-zapasy'!C20)-1)</f>
        <v xml:space="preserve">ŠTĚRBÁK Lukáš </v>
      </c>
      <c r="E53" s="359"/>
      <c r="F53" s="359"/>
      <c r="G53" s="359"/>
      <c r="H53" s="359"/>
      <c r="I53" s="359"/>
      <c r="J53" s="360"/>
    </row>
    <row r="54" spans="1:10" ht="24" thickBot="1" x14ac:dyDescent="0.25">
      <c r="A54" s="425" t="s">
        <v>165</v>
      </c>
      <c r="B54" s="426"/>
      <c r="C54" s="361" t="str">
        <f>C49</f>
        <v xml:space="preserve">MASOPUSTOVÁ Lucie </v>
      </c>
      <c r="D54" s="362" t="s">
        <v>166</v>
      </c>
      <c r="E54" s="427"/>
      <c r="F54" s="427"/>
      <c r="G54" s="427"/>
      <c r="H54" s="427"/>
      <c r="I54" s="427"/>
      <c r="J54" s="428"/>
    </row>
    <row r="55" spans="1:10" ht="13.5" thickBot="1" x14ac:dyDescent="0.25">
      <c r="A55" s="367"/>
    </row>
    <row r="56" spans="1:10" x14ac:dyDescent="0.2">
      <c r="A56" s="348"/>
      <c r="B56" s="349" t="s">
        <v>60</v>
      </c>
      <c r="C56" s="350" t="s">
        <v>96</v>
      </c>
      <c r="D56" s="350" t="s">
        <v>97</v>
      </c>
      <c r="E56" s="351" t="s">
        <v>162</v>
      </c>
      <c r="F56" s="351" t="s">
        <v>163</v>
      </c>
      <c r="G56" s="351" t="s">
        <v>164</v>
      </c>
      <c r="H56" s="351" t="s">
        <v>221</v>
      </c>
      <c r="I56" s="351" t="s">
        <v>220</v>
      </c>
      <c r="J56" s="352" t="s">
        <v>161</v>
      </c>
    </row>
    <row r="57" spans="1:10" ht="23.25" x14ac:dyDescent="0.2">
      <c r="A57" s="380" t="str">
        <f>'1-zapasy'!A21</f>
        <v>A3-3</v>
      </c>
      <c r="B57" s="356"/>
      <c r="C57" s="357" t="str">
        <f>LEFT('1-zapasy'!B21,SEARCH("(",'1-zapasy'!B21)-1)</f>
        <v xml:space="preserve">VINCENEC Oliver </v>
      </c>
      <c r="D57" s="357" t="str">
        <f>LEFT('1-zapasy'!C21,SEARCH("(",'1-zapasy'!C21)-1)</f>
        <v xml:space="preserve">KREJČÍ David </v>
      </c>
      <c r="E57" s="359"/>
      <c r="F57" s="359"/>
      <c r="G57" s="359"/>
      <c r="H57" s="359"/>
      <c r="I57" s="359"/>
      <c r="J57" s="360"/>
    </row>
    <row r="58" spans="1:10" ht="24" thickBot="1" x14ac:dyDescent="0.25">
      <c r="A58" s="425" t="s">
        <v>165</v>
      </c>
      <c r="B58" s="426"/>
      <c r="C58" s="361" t="str">
        <f>C61</f>
        <v xml:space="preserve">ŠTĚRBÁK Lukáš </v>
      </c>
      <c r="D58" s="362" t="s">
        <v>166</v>
      </c>
      <c r="E58" s="427"/>
      <c r="F58" s="427"/>
      <c r="G58" s="427"/>
      <c r="H58" s="427"/>
      <c r="I58" s="427"/>
      <c r="J58" s="428"/>
    </row>
    <row r="59" spans="1:10" ht="13.5" thickBot="1" x14ac:dyDescent="0.25"/>
    <row r="60" spans="1:10" x14ac:dyDescent="0.2">
      <c r="A60" s="348"/>
      <c r="B60" s="349" t="s">
        <v>60</v>
      </c>
      <c r="C60" s="350" t="s">
        <v>96</v>
      </c>
      <c r="D60" s="350" t="s">
        <v>97</v>
      </c>
      <c r="E60" s="351" t="s">
        <v>162</v>
      </c>
      <c r="F60" s="351" t="s">
        <v>163</v>
      </c>
      <c r="G60" s="351" t="s">
        <v>164</v>
      </c>
      <c r="H60" s="351" t="s">
        <v>221</v>
      </c>
      <c r="I60" s="351" t="s">
        <v>220</v>
      </c>
      <c r="J60" s="352" t="s">
        <v>161</v>
      </c>
    </row>
    <row r="61" spans="1:10" ht="23.25" x14ac:dyDescent="0.2">
      <c r="A61" s="380" t="str">
        <f>'1-zapasy'!A22</f>
        <v>A3-4</v>
      </c>
      <c r="B61" s="356"/>
      <c r="C61" s="357" t="str">
        <f>LEFT('1-zapasy'!B22,SEARCH("(",'1-zapasy'!B22)-1)</f>
        <v xml:space="preserve">ŠTĚRBÁK Lukáš </v>
      </c>
      <c r="D61" s="357" t="str">
        <f>LEFT('1-zapasy'!C22,SEARCH("(",'1-zapasy'!C22)-1)</f>
        <v xml:space="preserve">MASOPUSTOVÁ Lucie </v>
      </c>
      <c r="E61" s="359"/>
      <c r="F61" s="359"/>
      <c r="G61" s="359"/>
      <c r="H61" s="359"/>
      <c r="I61" s="359"/>
      <c r="J61" s="360"/>
    </row>
    <row r="62" spans="1:10" ht="24" thickBot="1" x14ac:dyDescent="0.25">
      <c r="A62" s="425" t="s">
        <v>165</v>
      </c>
      <c r="B62" s="426"/>
      <c r="C62" s="361" t="str">
        <f>C57</f>
        <v xml:space="preserve">VINCENEC Oliver </v>
      </c>
      <c r="D62" s="362" t="s">
        <v>166</v>
      </c>
      <c r="E62" s="427"/>
      <c r="F62" s="427"/>
      <c r="G62" s="427"/>
      <c r="H62" s="427"/>
      <c r="I62" s="427"/>
      <c r="J62" s="428"/>
    </row>
    <row r="63" spans="1:10" ht="13.5" thickBot="1" x14ac:dyDescent="0.25">
      <c r="A63" s="367"/>
    </row>
    <row r="64" spans="1:10" x14ac:dyDescent="0.2">
      <c r="A64" s="348"/>
      <c r="B64" s="349" t="s">
        <v>60</v>
      </c>
      <c r="C64" s="350" t="s">
        <v>96</v>
      </c>
      <c r="D64" s="350" t="s">
        <v>97</v>
      </c>
      <c r="E64" s="351" t="s">
        <v>162</v>
      </c>
      <c r="F64" s="351" t="s">
        <v>163</v>
      </c>
      <c r="G64" s="351" t="s">
        <v>164</v>
      </c>
      <c r="H64" s="351" t="s">
        <v>221</v>
      </c>
      <c r="I64" s="351" t="s">
        <v>220</v>
      </c>
      <c r="J64" s="352" t="s">
        <v>161</v>
      </c>
    </row>
    <row r="65" spans="1:10" ht="23.25" x14ac:dyDescent="0.2">
      <c r="A65" s="380" t="str">
        <f>'1-zapasy'!A23</f>
        <v>A3-5</v>
      </c>
      <c r="B65" s="356"/>
      <c r="C65" s="357" t="str">
        <f>LEFT('1-zapasy'!B23,SEARCH("(",'1-zapasy'!B23)-1)</f>
        <v xml:space="preserve">ŠTĚRBÁK Lukáš </v>
      </c>
      <c r="D65" s="357" t="str">
        <f>LEFT('1-zapasy'!C23,SEARCH("(",'1-zapasy'!C23)-1)</f>
        <v xml:space="preserve">VINCENEC Oliver </v>
      </c>
      <c r="E65" s="359"/>
      <c r="F65" s="359"/>
      <c r="G65" s="359"/>
      <c r="H65" s="359"/>
      <c r="I65" s="359"/>
      <c r="J65" s="360"/>
    </row>
    <row r="66" spans="1:10" ht="24" thickBot="1" x14ac:dyDescent="0.25">
      <c r="A66" s="425" t="s">
        <v>165</v>
      </c>
      <c r="B66" s="426"/>
      <c r="C66" s="361" t="str">
        <f>C50</f>
        <v xml:space="preserve">KREJČÍ David </v>
      </c>
      <c r="D66" s="362" t="s">
        <v>166</v>
      </c>
      <c r="E66" s="427"/>
      <c r="F66" s="427"/>
      <c r="G66" s="427"/>
      <c r="H66" s="427"/>
      <c r="I66" s="427"/>
      <c r="J66" s="428"/>
    </row>
    <row r="67" spans="1:10" ht="13.5" thickBot="1" x14ac:dyDescent="0.25"/>
    <row r="68" spans="1:10" x14ac:dyDescent="0.2">
      <c r="A68" s="348"/>
      <c r="B68" s="349" t="s">
        <v>60</v>
      </c>
      <c r="C68" s="350" t="s">
        <v>96</v>
      </c>
      <c r="D68" s="350" t="s">
        <v>97</v>
      </c>
      <c r="E68" s="351" t="s">
        <v>162</v>
      </c>
      <c r="F68" s="351" t="s">
        <v>163</v>
      </c>
      <c r="G68" s="351" t="s">
        <v>164</v>
      </c>
      <c r="H68" s="351" t="s">
        <v>221</v>
      </c>
      <c r="I68" s="351" t="s">
        <v>220</v>
      </c>
      <c r="J68" s="352" t="s">
        <v>161</v>
      </c>
    </row>
    <row r="69" spans="1:10" ht="23.25" x14ac:dyDescent="0.2">
      <c r="A69" s="380" t="str">
        <f>'1-zapasy'!A24</f>
        <v>A3-6</v>
      </c>
      <c r="B69" s="356"/>
      <c r="C69" s="357" t="str">
        <f>LEFT('1-zapasy'!B24,SEARCH("(",'1-zapasy'!B24)-1)</f>
        <v xml:space="preserve">MASOPUSTOVÁ Lucie </v>
      </c>
      <c r="D69" s="357" t="str">
        <f>LEFT('1-zapasy'!C24,SEARCH("(",'1-zapasy'!C24)-1)</f>
        <v xml:space="preserve">KREJČÍ David </v>
      </c>
      <c r="E69" s="359"/>
      <c r="F69" s="359"/>
      <c r="G69" s="359"/>
      <c r="H69" s="359"/>
      <c r="I69" s="359"/>
      <c r="J69" s="360"/>
    </row>
    <row r="70" spans="1:10" ht="24" thickBot="1" x14ac:dyDescent="0.25">
      <c r="A70" s="425" t="s">
        <v>165</v>
      </c>
      <c r="B70" s="426"/>
      <c r="C70" s="361" t="str">
        <f>C58</f>
        <v xml:space="preserve">ŠTĚRBÁK Lukáš </v>
      </c>
      <c r="D70" s="362" t="s">
        <v>166</v>
      </c>
      <c r="E70" s="427"/>
      <c r="F70" s="427"/>
      <c r="G70" s="427"/>
      <c r="H70" s="427"/>
      <c r="I70" s="427"/>
      <c r="J70" s="428"/>
    </row>
    <row r="71" spans="1:10" ht="13.5" thickBot="1" x14ac:dyDescent="0.25">
      <c r="A71" s="367"/>
    </row>
    <row r="72" spans="1:10" x14ac:dyDescent="0.2">
      <c r="A72" s="348"/>
      <c r="B72" s="349" t="s">
        <v>60</v>
      </c>
      <c r="C72" s="350" t="s">
        <v>96</v>
      </c>
      <c r="D72" s="350" t="s">
        <v>97</v>
      </c>
      <c r="E72" s="351" t="s">
        <v>162</v>
      </c>
      <c r="F72" s="351" t="s">
        <v>163</v>
      </c>
      <c r="G72" s="351" t="s">
        <v>164</v>
      </c>
      <c r="H72" s="351" t="s">
        <v>221</v>
      </c>
      <c r="I72" s="351" t="s">
        <v>220</v>
      </c>
      <c r="J72" s="352" t="s">
        <v>161</v>
      </c>
    </row>
    <row r="73" spans="1:10" ht="23.25" x14ac:dyDescent="0.2">
      <c r="A73" s="380" t="str">
        <f>'1-zapasy'!A27</f>
        <v>A4-1</v>
      </c>
      <c r="B73" s="356"/>
      <c r="C73" s="357" t="str">
        <f>LEFT('1-zapasy'!B27,SEARCH("(",'1-zapasy'!B27)-1)</f>
        <v xml:space="preserve">SOBOTÍKOVÁ Monika </v>
      </c>
      <c r="D73" s="357" t="str">
        <f>LEFT('1-zapasy'!C27,SEARCH("(",'1-zapasy'!C27)-1)</f>
        <v xml:space="preserve">BAHENSKÝ Tomáš </v>
      </c>
      <c r="E73" s="358"/>
      <c r="F73" s="359"/>
      <c r="G73" s="359"/>
      <c r="H73" s="359"/>
      <c r="I73" s="359"/>
      <c r="J73" s="360"/>
    </row>
    <row r="74" spans="1:10" ht="24" thickBot="1" x14ac:dyDescent="0.25">
      <c r="A74" s="425" t="s">
        <v>165</v>
      </c>
      <c r="B74" s="426"/>
      <c r="C74" s="361" t="str">
        <f>C77</f>
        <v xml:space="preserve">LUSKA Petr </v>
      </c>
      <c r="D74" s="362" t="s">
        <v>166</v>
      </c>
      <c r="E74" s="427"/>
      <c r="F74" s="427"/>
      <c r="G74" s="427"/>
      <c r="H74" s="427"/>
      <c r="I74" s="427"/>
      <c r="J74" s="428"/>
    </row>
    <row r="75" spans="1:10" ht="13.5" thickBot="1" x14ac:dyDescent="0.25"/>
    <row r="76" spans="1:10" x14ac:dyDescent="0.2">
      <c r="A76" s="348"/>
      <c r="B76" s="349" t="s">
        <v>60</v>
      </c>
      <c r="C76" s="350" t="s">
        <v>96</v>
      </c>
      <c r="D76" s="350" t="s">
        <v>97</v>
      </c>
      <c r="E76" s="351" t="s">
        <v>162</v>
      </c>
      <c r="F76" s="351" t="s">
        <v>163</v>
      </c>
      <c r="G76" s="351" t="s">
        <v>164</v>
      </c>
      <c r="H76" s="351" t="s">
        <v>221</v>
      </c>
      <c r="I76" s="351" t="s">
        <v>220</v>
      </c>
      <c r="J76" s="352" t="s">
        <v>161</v>
      </c>
    </row>
    <row r="77" spans="1:10" ht="23.25" x14ac:dyDescent="0.2">
      <c r="A77" s="380" t="str">
        <f>'1-zapasy'!A28</f>
        <v>A4-2</v>
      </c>
      <c r="B77" s="356"/>
      <c r="C77" s="357" t="str">
        <f>LEFT('1-zapasy'!B28,SEARCH("(",'1-zapasy'!B28)-1)</f>
        <v xml:space="preserve">LUSKA Petr </v>
      </c>
      <c r="D77" s="357" t="str">
        <f>LEFT('1-zapasy'!C28,SEARCH("(",'1-zapasy'!C28)-1)</f>
        <v xml:space="preserve">KOTÁSKOVÁ Kristýna </v>
      </c>
      <c r="E77" s="359"/>
      <c r="F77" s="359"/>
      <c r="G77" s="359"/>
      <c r="H77" s="359"/>
      <c r="I77" s="359"/>
      <c r="J77" s="360"/>
    </row>
    <row r="78" spans="1:10" ht="24" thickBot="1" x14ac:dyDescent="0.25">
      <c r="A78" s="425" t="s">
        <v>165</v>
      </c>
      <c r="B78" s="426"/>
      <c r="C78" s="361" t="str">
        <f>C73</f>
        <v xml:space="preserve">SOBOTÍKOVÁ Monika </v>
      </c>
      <c r="D78" s="362" t="s">
        <v>166</v>
      </c>
      <c r="E78" s="427"/>
      <c r="F78" s="427"/>
      <c r="G78" s="427"/>
      <c r="H78" s="427"/>
      <c r="I78" s="427"/>
      <c r="J78" s="428"/>
    </row>
    <row r="79" spans="1:10" ht="13.5" thickBot="1" x14ac:dyDescent="0.25">
      <c r="A79" s="367"/>
    </row>
    <row r="80" spans="1:10" x14ac:dyDescent="0.2">
      <c r="A80" s="348"/>
      <c r="B80" s="349" t="s">
        <v>60</v>
      </c>
      <c r="C80" s="350" t="s">
        <v>96</v>
      </c>
      <c r="D80" s="350" t="s">
        <v>97</v>
      </c>
      <c r="E80" s="351" t="s">
        <v>162</v>
      </c>
      <c r="F80" s="351" t="s">
        <v>163</v>
      </c>
      <c r="G80" s="351" t="s">
        <v>164</v>
      </c>
      <c r="H80" s="351" t="s">
        <v>221</v>
      </c>
      <c r="I80" s="351" t="s">
        <v>220</v>
      </c>
      <c r="J80" s="352" t="s">
        <v>161</v>
      </c>
    </row>
    <row r="81" spans="1:10" ht="23.25" x14ac:dyDescent="0.2">
      <c r="A81" s="380" t="str">
        <f>'1-zapasy'!A29</f>
        <v>A4-3</v>
      </c>
      <c r="B81" s="356"/>
      <c r="C81" s="357" t="str">
        <f>LEFT('1-zapasy'!B29,SEARCH("(",'1-zapasy'!B29)-1)</f>
        <v xml:space="preserve">BAHENSKÝ Tomáš </v>
      </c>
      <c r="D81" s="357" t="str">
        <f>LEFT('1-zapasy'!C29,SEARCH("(",'1-zapasy'!C29)-1)</f>
        <v xml:space="preserve">LUSKA Petr </v>
      </c>
      <c r="E81" s="359"/>
      <c r="F81" s="359"/>
      <c r="G81" s="359"/>
      <c r="H81" s="359"/>
      <c r="I81" s="359"/>
      <c r="J81" s="360"/>
    </row>
    <row r="82" spans="1:10" ht="24" thickBot="1" x14ac:dyDescent="0.25">
      <c r="A82" s="425" t="s">
        <v>165</v>
      </c>
      <c r="B82" s="426"/>
      <c r="C82" s="361" t="str">
        <f>C85</f>
        <v xml:space="preserve">KOTÁSKOVÁ Kristýna </v>
      </c>
      <c r="D82" s="362" t="s">
        <v>166</v>
      </c>
      <c r="E82" s="427"/>
      <c r="F82" s="427"/>
      <c r="G82" s="427"/>
      <c r="H82" s="427"/>
      <c r="I82" s="427"/>
      <c r="J82" s="428"/>
    </row>
    <row r="83" spans="1:10" ht="13.5" thickBot="1" x14ac:dyDescent="0.25">
      <c r="A83" s="367"/>
    </row>
    <row r="84" spans="1:10" x14ac:dyDescent="0.2">
      <c r="A84" s="348"/>
      <c r="B84" s="349" t="s">
        <v>60</v>
      </c>
      <c r="C84" s="350" t="s">
        <v>96</v>
      </c>
      <c r="D84" s="350" t="s">
        <v>97</v>
      </c>
      <c r="E84" s="351" t="s">
        <v>162</v>
      </c>
      <c r="F84" s="351" t="s">
        <v>163</v>
      </c>
      <c r="G84" s="351" t="s">
        <v>164</v>
      </c>
      <c r="H84" s="351" t="s">
        <v>221</v>
      </c>
      <c r="I84" s="351" t="s">
        <v>220</v>
      </c>
      <c r="J84" s="352" t="s">
        <v>161</v>
      </c>
    </row>
    <row r="85" spans="1:10" ht="23.25" x14ac:dyDescent="0.2">
      <c r="A85" s="380" t="str">
        <f>'1-zapasy'!A30</f>
        <v>A4-4</v>
      </c>
      <c r="B85" s="356"/>
      <c r="C85" s="357" t="str">
        <f>LEFT('1-zapasy'!B30,SEARCH("(",'1-zapasy'!B30)-1)</f>
        <v xml:space="preserve">KOTÁSKOVÁ Kristýna </v>
      </c>
      <c r="D85" s="357" t="str">
        <f>LEFT('1-zapasy'!C30,SEARCH("(",'1-zapasy'!C30)-1)</f>
        <v xml:space="preserve">SOBOTÍKOVÁ Monika </v>
      </c>
      <c r="E85" s="359"/>
      <c r="F85" s="359"/>
      <c r="G85" s="359"/>
      <c r="H85" s="359"/>
      <c r="I85" s="359"/>
      <c r="J85" s="360"/>
    </row>
    <row r="86" spans="1:10" ht="24" thickBot="1" x14ac:dyDescent="0.25">
      <c r="A86" s="425" t="s">
        <v>165</v>
      </c>
      <c r="B86" s="426"/>
      <c r="C86" s="361" t="str">
        <f>C81</f>
        <v xml:space="preserve">BAHENSKÝ Tomáš </v>
      </c>
      <c r="D86" s="362" t="s">
        <v>166</v>
      </c>
      <c r="E86" s="427"/>
      <c r="F86" s="427"/>
      <c r="G86" s="427"/>
      <c r="H86" s="427"/>
      <c r="I86" s="427"/>
      <c r="J86" s="428"/>
    </row>
    <row r="87" spans="1:10" ht="13.5" thickBot="1" x14ac:dyDescent="0.25">
      <c r="A87" s="367"/>
    </row>
    <row r="88" spans="1:10" x14ac:dyDescent="0.2">
      <c r="A88" s="348"/>
      <c r="B88" s="349" t="s">
        <v>60</v>
      </c>
      <c r="C88" s="350" t="s">
        <v>96</v>
      </c>
      <c r="D88" s="350" t="s">
        <v>97</v>
      </c>
      <c r="E88" s="351" t="s">
        <v>162</v>
      </c>
      <c r="F88" s="351" t="s">
        <v>163</v>
      </c>
      <c r="G88" s="351" t="s">
        <v>164</v>
      </c>
      <c r="H88" s="351" t="s">
        <v>221</v>
      </c>
      <c r="I88" s="351" t="s">
        <v>220</v>
      </c>
      <c r="J88" s="352" t="s">
        <v>161</v>
      </c>
    </row>
    <row r="89" spans="1:10" ht="23.25" x14ac:dyDescent="0.2">
      <c r="A89" s="380" t="str">
        <f>'1-zapasy'!A31</f>
        <v>A4-5</v>
      </c>
      <c r="B89" s="356"/>
      <c r="C89" s="357" t="str">
        <f>LEFT('1-zapasy'!B31,SEARCH("(",'1-zapasy'!B31)-1)</f>
        <v xml:space="preserve">KOTÁSKOVÁ Kristýna </v>
      </c>
      <c r="D89" s="357" t="str">
        <f>LEFT('1-zapasy'!C31,SEARCH("(",'1-zapasy'!C31)-1)</f>
        <v xml:space="preserve">BAHENSKÝ Tomáš </v>
      </c>
      <c r="E89" s="359"/>
      <c r="F89" s="359"/>
      <c r="G89" s="359"/>
      <c r="H89" s="359"/>
      <c r="I89" s="359"/>
      <c r="J89" s="360"/>
    </row>
    <row r="90" spans="1:10" ht="24" thickBot="1" x14ac:dyDescent="0.25">
      <c r="A90" s="425" t="s">
        <v>165</v>
      </c>
      <c r="B90" s="426"/>
      <c r="C90" s="361" t="str">
        <f>C74</f>
        <v xml:space="preserve">LUSKA Petr </v>
      </c>
      <c r="D90" s="362" t="s">
        <v>166</v>
      </c>
      <c r="E90" s="427"/>
      <c r="F90" s="427"/>
      <c r="G90" s="427"/>
      <c r="H90" s="427"/>
      <c r="I90" s="427"/>
      <c r="J90" s="428"/>
    </row>
    <row r="91" spans="1:10" ht="13.5" thickBot="1" x14ac:dyDescent="0.25"/>
    <row r="92" spans="1:10" x14ac:dyDescent="0.2">
      <c r="A92" s="348"/>
      <c r="B92" s="349" t="s">
        <v>60</v>
      </c>
      <c r="C92" s="350" t="s">
        <v>96</v>
      </c>
      <c r="D92" s="350" t="s">
        <v>97</v>
      </c>
      <c r="E92" s="351" t="s">
        <v>162</v>
      </c>
      <c r="F92" s="351" t="s">
        <v>163</v>
      </c>
      <c r="G92" s="351" t="s">
        <v>164</v>
      </c>
      <c r="H92" s="351" t="s">
        <v>221</v>
      </c>
      <c r="I92" s="351" t="s">
        <v>220</v>
      </c>
      <c r="J92" s="352" t="s">
        <v>161</v>
      </c>
    </row>
    <row r="93" spans="1:10" ht="23.25" x14ac:dyDescent="0.2">
      <c r="A93" s="380" t="str">
        <f>'1-zapasy'!A32</f>
        <v>A4-6</v>
      </c>
      <c r="B93" s="356"/>
      <c r="C93" s="357" t="str">
        <f>LEFT('1-zapasy'!B32,SEARCH("(",'1-zapasy'!B32)-1)</f>
        <v xml:space="preserve">SOBOTÍKOVÁ Monika </v>
      </c>
      <c r="D93" s="357" t="str">
        <f>LEFT('1-zapasy'!C32,SEARCH("(",'1-zapasy'!C32)-1)</f>
        <v xml:space="preserve">LUSKA Petr </v>
      </c>
      <c r="E93" s="359"/>
      <c r="F93" s="359"/>
      <c r="G93" s="359"/>
      <c r="H93" s="359"/>
      <c r="I93" s="359"/>
      <c r="J93" s="360"/>
    </row>
    <row r="94" spans="1:10" ht="24" thickBot="1" x14ac:dyDescent="0.25">
      <c r="A94" s="425" t="s">
        <v>165</v>
      </c>
      <c r="B94" s="426"/>
      <c r="C94" s="361" t="str">
        <f>C82</f>
        <v xml:space="preserve">KOTÁSKOVÁ Kristýna </v>
      </c>
      <c r="D94" s="362" t="s">
        <v>166</v>
      </c>
      <c r="E94" s="427"/>
      <c r="F94" s="427"/>
      <c r="G94" s="427"/>
      <c r="H94" s="427"/>
      <c r="I94" s="427"/>
      <c r="J94" s="428"/>
    </row>
    <row r="95" spans="1:10" ht="14.45" customHeight="1" x14ac:dyDescent="0.2">
      <c r="A95" s="348"/>
      <c r="B95" s="349" t="s">
        <v>60</v>
      </c>
      <c r="C95" s="350" t="s">
        <v>96</v>
      </c>
      <c r="D95" s="350" t="s">
        <v>97</v>
      </c>
      <c r="E95" s="351" t="s">
        <v>162</v>
      </c>
      <c r="F95" s="351" t="s">
        <v>163</v>
      </c>
      <c r="G95" s="351" t="s">
        <v>164</v>
      </c>
      <c r="H95" s="351" t="s">
        <v>221</v>
      </c>
      <c r="I95" s="351" t="s">
        <v>220</v>
      </c>
      <c r="J95" s="352" t="s">
        <v>161</v>
      </c>
    </row>
    <row r="96" spans="1:10" ht="23.25" x14ac:dyDescent="0.2">
      <c r="A96" s="380" t="str">
        <f>'1-zapasy'!A35</f>
        <v>A5-1</v>
      </c>
      <c r="B96" s="356"/>
      <c r="C96" s="357" t="str">
        <f>LEFT('1-zapasy'!B35,SEARCH("(",'1-zapasy'!B35)-1)</f>
        <v xml:space="preserve">KRIŠTOF Lukáš </v>
      </c>
      <c r="D96" s="357" t="str">
        <f>LEFT('1-zapasy'!C35,SEARCH("(",'1-zapasy'!C35)-1)</f>
        <v xml:space="preserve">HABÁŇOVÁ Michaela </v>
      </c>
      <c r="E96" s="358"/>
      <c r="F96" s="359"/>
      <c r="G96" s="359"/>
      <c r="H96" s="359"/>
      <c r="I96" s="359"/>
      <c r="J96" s="360"/>
    </row>
    <row r="97" spans="1:14" ht="24" thickBot="1" x14ac:dyDescent="0.25">
      <c r="A97" s="425" t="s">
        <v>165</v>
      </c>
      <c r="B97" s="426"/>
      <c r="C97" s="361" t="str">
        <f>C100</f>
        <v xml:space="preserve">CHALÚPEK Filip </v>
      </c>
      <c r="D97" s="362" t="s">
        <v>166</v>
      </c>
      <c r="E97" s="427"/>
      <c r="F97" s="427"/>
      <c r="G97" s="427"/>
      <c r="H97" s="427"/>
      <c r="I97" s="427"/>
      <c r="J97" s="428"/>
    </row>
    <row r="98" spans="1:14" ht="13.5" thickBot="1" x14ac:dyDescent="0.25"/>
    <row r="99" spans="1:14" ht="14.45" customHeight="1" x14ac:dyDescent="0.2">
      <c r="A99" s="348"/>
      <c r="B99" s="349" t="s">
        <v>60</v>
      </c>
      <c r="C99" s="350" t="s">
        <v>96</v>
      </c>
      <c r="D99" s="350" t="s">
        <v>97</v>
      </c>
      <c r="E99" s="351" t="s">
        <v>162</v>
      </c>
      <c r="F99" s="351" t="s">
        <v>163</v>
      </c>
      <c r="G99" s="351" t="s">
        <v>164</v>
      </c>
      <c r="H99" s="351" t="s">
        <v>221</v>
      </c>
      <c r="I99" s="351" t="s">
        <v>220</v>
      </c>
      <c r="J99" s="352" t="s">
        <v>161</v>
      </c>
    </row>
    <row r="100" spans="1:14" ht="23.25" x14ac:dyDescent="0.2">
      <c r="A100" s="380" t="str">
        <f>'1-zapasy'!A36</f>
        <v>A5-2</v>
      </c>
      <c r="B100" s="356"/>
      <c r="C100" s="357" t="str">
        <f>LEFT('1-zapasy'!B36,SEARCH("(",'1-zapasy'!B36)-1)</f>
        <v xml:space="preserve">CHALÚPEK Filip </v>
      </c>
      <c r="D100" s="357" t="str">
        <f>LEFT('1-zapasy'!C36,SEARCH("(",'1-zapasy'!C36)-1)</f>
        <v xml:space="preserve">SVOBODA Ondřej </v>
      </c>
      <c r="E100" s="359"/>
      <c r="F100" s="359"/>
      <c r="G100" s="359"/>
      <c r="H100" s="359"/>
      <c r="I100" s="359"/>
      <c r="J100" s="360"/>
      <c r="N100" s="366"/>
    </row>
    <row r="101" spans="1:14" ht="24" thickBot="1" x14ac:dyDescent="0.25">
      <c r="A101" s="425" t="s">
        <v>165</v>
      </c>
      <c r="B101" s="426"/>
      <c r="C101" s="361" t="str">
        <f>C96</f>
        <v xml:space="preserve">KRIŠTOF Lukáš </v>
      </c>
      <c r="D101" s="362" t="s">
        <v>166</v>
      </c>
      <c r="E101" s="427"/>
      <c r="F101" s="427"/>
      <c r="G101" s="427"/>
      <c r="H101" s="427"/>
      <c r="I101" s="427"/>
      <c r="J101" s="428"/>
    </row>
    <row r="102" spans="1:14" ht="12" customHeight="1" thickBot="1" x14ac:dyDescent="0.25">
      <c r="A102" s="367"/>
    </row>
    <row r="103" spans="1:14" ht="14.45" customHeight="1" x14ac:dyDescent="0.2">
      <c r="A103" s="348"/>
      <c r="B103" s="349" t="s">
        <v>60</v>
      </c>
      <c r="C103" s="350" t="s">
        <v>96</v>
      </c>
      <c r="D103" s="350" t="s">
        <v>97</v>
      </c>
      <c r="E103" s="351" t="s">
        <v>162</v>
      </c>
      <c r="F103" s="351" t="s">
        <v>163</v>
      </c>
      <c r="G103" s="351" t="s">
        <v>164</v>
      </c>
      <c r="H103" s="351" t="s">
        <v>221</v>
      </c>
      <c r="I103" s="351" t="s">
        <v>220</v>
      </c>
      <c r="J103" s="352" t="s">
        <v>161</v>
      </c>
    </row>
    <row r="104" spans="1:14" ht="23.25" x14ac:dyDescent="0.2">
      <c r="A104" s="380" t="str">
        <f>'1-zapasy'!A37</f>
        <v>A5-3</v>
      </c>
      <c r="B104" s="356"/>
      <c r="C104" s="357" t="str">
        <f>LEFT('1-zapasy'!B37,SEARCH("(",'1-zapasy'!B37)-1)</f>
        <v xml:space="preserve">HABÁŇOVÁ Michaela </v>
      </c>
      <c r="D104" s="357" t="str">
        <f>LEFT('1-zapasy'!C37,SEARCH("(",'1-zapasy'!C37)-1)</f>
        <v xml:space="preserve">CHALÚPEK Filip </v>
      </c>
      <c r="E104" s="359"/>
      <c r="F104" s="359"/>
      <c r="G104" s="359"/>
      <c r="H104" s="359"/>
      <c r="I104" s="359"/>
      <c r="J104" s="360"/>
    </row>
    <row r="105" spans="1:14" ht="24" thickBot="1" x14ac:dyDescent="0.25">
      <c r="A105" s="425" t="s">
        <v>165</v>
      </c>
      <c r="B105" s="426"/>
      <c r="C105" s="361" t="str">
        <f>C108</f>
        <v xml:space="preserve">SVOBODA Ondřej </v>
      </c>
      <c r="D105" s="362" t="s">
        <v>166</v>
      </c>
      <c r="E105" s="427"/>
      <c r="F105" s="427"/>
      <c r="G105" s="427"/>
      <c r="H105" s="427"/>
      <c r="I105" s="427"/>
      <c r="J105" s="428"/>
    </row>
    <row r="106" spans="1:14" ht="12" customHeight="1" thickBot="1" x14ac:dyDescent="0.25"/>
    <row r="107" spans="1:14" ht="14.45" customHeight="1" x14ac:dyDescent="0.2">
      <c r="A107" s="348"/>
      <c r="B107" s="349" t="s">
        <v>60</v>
      </c>
      <c r="C107" s="350" t="s">
        <v>96</v>
      </c>
      <c r="D107" s="350" t="s">
        <v>97</v>
      </c>
      <c r="E107" s="351" t="s">
        <v>162</v>
      </c>
      <c r="F107" s="351" t="s">
        <v>163</v>
      </c>
      <c r="G107" s="351" t="s">
        <v>164</v>
      </c>
      <c r="H107" s="351" t="s">
        <v>221</v>
      </c>
      <c r="I107" s="351" t="s">
        <v>220</v>
      </c>
      <c r="J107" s="352" t="s">
        <v>161</v>
      </c>
    </row>
    <row r="108" spans="1:14" ht="23.25" x14ac:dyDescent="0.2">
      <c r="A108" s="380" t="str">
        <f>'1-zapasy'!A38</f>
        <v>A5-4</v>
      </c>
      <c r="B108" s="356"/>
      <c r="C108" s="357" t="str">
        <f>LEFT('1-zapasy'!B38,SEARCH("(",'1-zapasy'!B38)-1)</f>
        <v xml:space="preserve">SVOBODA Ondřej </v>
      </c>
      <c r="D108" s="357" t="str">
        <f>LEFT('1-zapasy'!C38,SEARCH("(",'1-zapasy'!C38)-1)</f>
        <v xml:space="preserve">KRIŠTOF Lukáš </v>
      </c>
      <c r="E108" s="359"/>
      <c r="F108" s="359"/>
      <c r="G108" s="359"/>
      <c r="H108" s="359"/>
      <c r="I108" s="359"/>
      <c r="J108" s="360"/>
    </row>
    <row r="109" spans="1:14" ht="24" thickBot="1" x14ac:dyDescent="0.25">
      <c r="A109" s="425" t="s">
        <v>165</v>
      </c>
      <c r="B109" s="426"/>
      <c r="C109" s="361" t="str">
        <f>C104</f>
        <v xml:space="preserve">HABÁŇOVÁ Michaela </v>
      </c>
      <c r="D109" s="362" t="s">
        <v>166</v>
      </c>
      <c r="E109" s="427"/>
      <c r="F109" s="427"/>
      <c r="G109" s="427"/>
      <c r="H109" s="427"/>
      <c r="I109" s="427"/>
      <c r="J109" s="428"/>
    </row>
    <row r="110" spans="1:14" ht="12" customHeight="1" thickBot="1" x14ac:dyDescent="0.25">
      <c r="A110" s="367"/>
    </row>
    <row r="111" spans="1:14" ht="14.45" customHeight="1" x14ac:dyDescent="0.2">
      <c r="A111" s="348"/>
      <c r="B111" s="349" t="s">
        <v>60</v>
      </c>
      <c r="C111" s="350" t="s">
        <v>96</v>
      </c>
      <c r="D111" s="350" t="s">
        <v>97</v>
      </c>
      <c r="E111" s="351" t="s">
        <v>162</v>
      </c>
      <c r="F111" s="351" t="s">
        <v>163</v>
      </c>
      <c r="G111" s="351" t="s">
        <v>164</v>
      </c>
      <c r="H111" s="351" t="s">
        <v>221</v>
      </c>
      <c r="I111" s="351" t="s">
        <v>220</v>
      </c>
      <c r="J111" s="352" t="s">
        <v>161</v>
      </c>
    </row>
    <row r="112" spans="1:14" ht="23.25" x14ac:dyDescent="0.2">
      <c r="A112" s="380" t="str">
        <f>'1-zapasy'!A39</f>
        <v>A5-5</v>
      </c>
      <c r="B112" s="356"/>
      <c r="C112" s="357" t="str">
        <f>LEFT('1-zapasy'!B39,SEARCH("(",'1-zapasy'!B39)-1)</f>
        <v xml:space="preserve">SVOBODA Ondřej </v>
      </c>
      <c r="D112" s="357" t="str">
        <f>LEFT('1-zapasy'!C39,SEARCH("(",'1-zapasy'!C39)-1)</f>
        <v xml:space="preserve">HABÁŇOVÁ Michaela </v>
      </c>
      <c r="E112" s="359"/>
      <c r="F112" s="359"/>
      <c r="G112" s="359"/>
      <c r="H112" s="359"/>
      <c r="I112" s="359"/>
      <c r="J112" s="360"/>
    </row>
    <row r="113" spans="1:10" ht="24" thickBot="1" x14ac:dyDescent="0.25">
      <c r="A113" s="425" t="s">
        <v>165</v>
      </c>
      <c r="B113" s="426"/>
      <c r="C113" s="361" t="str">
        <f>C97</f>
        <v xml:space="preserve">CHALÚPEK Filip </v>
      </c>
      <c r="D113" s="362" t="s">
        <v>166</v>
      </c>
      <c r="E113" s="427"/>
      <c r="F113" s="427"/>
      <c r="G113" s="427"/>
      <c r="H113" s="427"/>
      <c r="I113" s="427"/>
      <c r="J113" s="428"/>
    </row>
    <row r="114" spans="1:10" ht="13.5" thickBot="1" x14ac:dyDescent="0.25"/>
    <row r="115" spans="1:10" ht="14.45" customHeight="1" x14ac:dyDescent="0.2">
      <c r="A115" s="348"/>
      <c r="B115" s="349" t="s">
        <v>60</v>
      </c>
      <c r="C115" s="350" t="s">
        <v>96</v>
      </c>
      <c r="D115" s="350" t="s">
        <v>97</v>
      </c>
      <c r="E115" s="351" t="s">
        <v>162</v>
      </c>
      <c r="F115" s="351" t="s">
        <v>163</v>
      </c>
      <c r="G115" s="351" t="s">
        <v>164</v>
      </c>
      <c r="H115" s="351" t="s">
        <v>221</v>
      </c>
      <c r="I115" s="351" t="s">
        <v>220</v>
      </c>
      <c r="J115" s="352" t="s">
        <v>161</v>
      </c>
    </row>
    <row r="116" spans="1:10" ht="23.25" x14ac:dyDescent="0.2">
      <c r="A116" s="380" t="str">
        <f>'1-zapasy'!A40</f>
        <v>A5-6</v>
      </c>
      <c r="B116" s="356"/>
      <c r="C116" s="357" t="str">
        <f>LEFT('1-zapasy'!B40,SEARCH("(",'1-zapasy'!B40)-1)</f>
        <v xml:space="preserve">KRIŠTOF Lukáš </v>
      </c>
      <c r="D116" s="357" t="str">
        <f>LEFT('1-zapasy'!C40,SEARCH("(",'1-zapasy'!C40)-1)</f>
        <v xml:space="preserve">CHALÚPEK Filip </v>
      </c>
      <c r="E116" s="359"/>
      <c r="F116" s="359"/>
      <c r="G116" s="359"/>
      <c r="H116" s="359"/>
      <c r="I116" s="359"/>
      <c r="J116" s="360"/>
    </row>
    <row r="117" spans="1:10" ht="24" thickBot="1" x14ac:dyDescent="0.25">
      <c r="A117" s="425" t="s">
        <v>165</v>
      </c>
      <c r="B117" s="426"/>
      <c r="C117" s="361" t="str">
        <f>C105</f>
        <v xml:space="preserve">SVOBODA Ondřej </v>
      </c>
      <c r="D117" s="362" t="s">
        <v>166</v>
      </c>
      <c r="E117" s="427"/>
      <c r="F117" s="427"/>
      <c r="G117" s="427"/>
      <c r="H117" s="427"/>
      <c r="I117" s="427"/>
      <c r="J117" s="428"/>
    </row>
    <row r="118" spans="1:10" ht="12" customHeight="1" thickBot="1" x14ac:dyDescent="0.25">
      <c r="A118" s="367"/>
    </row>
    <row r="119" spans="1:10" x14ac:dyDescent="0.2">
      <c r="A119" s="348"/>
      <c r="B119" s="349" t="s">
        <v>60</v>
      </c>
      <c r="C119" s="350" t="s">
        <v>96</v>
      </c>
      <c r="D119" s="350" t="s">
        <v>97</v>
      </c>
      <c r="E119" s="351" t="s">
        <v>162</v>
      </c>
      <c r="F119" s="351" t="s">
        <v>163</v>
      </c>
      <c r="G119" s="351" t="s">
        <v>164</v>
      </c>
      <c r="H119" s="351" t="s">
        <v>221</v>
      </c>
      <c r="I119" s="351" t="s">
        <v>220</v>
      </c>
      <c r="J119" s="352" t="s">
        <v>161</v>
      </c>
    </row>
    <row r="120" spans="1:10" ht="23.25" x14ac:dyDescent="0.2">
      <c r="A120" s="380" t="str">
        <f>'1-zapasy'!A43</f>
        <v>A6-1</v>
      </c>
      <c r="B120" s="356"/>
      <c r="C120" s="357" t="str">
        <f>LEFT('1-zapasy'!B43,SEARCH("(",'1-zapasy'!B43)-1)</f>
        <v xml:space="preserve">BUK Lukáš </v>
      </c>
      <c r="D120" s="357" t="str">
        <f>LEFT('1-zapasy'!C43,SEARCH("(",'1-zapasy'!C43)-1)</f>
        <v xml:space="preserve">DREITS Anastasiia </v>
      </c>
      <c r="E120" s="358"/>
      <c r="F120" s="359"/>
      <c r="G120" s="359"/>
      <c r="H120" s="359"/>
      <c r="I120" s="359"/>
      <c r="J120" s="360"/>
    </row>
    <row r="121" spans="1:10" ht="24" thickBot="1" x14ac:dyDescent="0.25">
      <c r="A121" s="425" t="s">
        <v>165</v>
      </c>
      <c r="B121" s="426"/>
      <c r="C121" s="361" t="str">
        <f>C124</f>
        <v xml:space="preserve">MAZALOVÁ Kristýna </v>
      </c>
      <c r="D121" s="362" t="s">
        <v>166</v>
      </c>
      <c r="E121" s="427"/>
      <c r="F121" s="427"/>
      <c r="G121" s="427"/>
      <c r="H121" s="427"/>
      <c r="I121" s="427"/>
      <c r="J121" s="428"/>
    </row>
    <row r="122" spans="1:10" ht="13.5" thickBot="1" x14ac:dyDescent="0.25"/>
    <row r="123" spans="1:10" x14ac:dyDescent="0.2">
      <c r="A123" s="348"/>
      <c r="B123" s="349" t="s">
        <v>60</v>
      </c>
      <c r="C123" s="350" t="s">
        <v>96</v>
      </c>
      <c r="D123" s="350" t="s">
        <v>97</v>
      </c>
      <c r="E123" s="351" t="s">
        <v>162</v>
      </c>
      <c r="F123" s="351" t="s">
        <v>163</v>
      </c>
      <c r="G123" s="351" t="s">
        <v>164</v>
      </c>
      <c r="H123" s="351" t="s">
        <v>221</v>
      </c>
      <c r="I123" s="351" t="s">
        <v>220</v>
      </c>
      <c r="J123" s="352" t="s">
        <v>161</v>
      </c>
    </row>
    <row r="124" spans="1:10" ht="23.25" x14ac:dyDescent="0.2">
      <c r="A124" s="380" t="str">
        <f>'1-zapasy'!A44</f>
        <v>A6-2</v>
      </c>
      <c r="B124" s="356"/>
      <c r="C124" s="357" t="str">
        <f>LEFT('1-zapasy'!B44,SEARCH("(",'1-zapasy'!B44)-1)</f>
        <v xml:space="preserve">MAZALOVÁ Kristýna </v>
      </c>
      <c r="D124" s="357" t="str">
        <f>LEFT('1-zapasy'!C44,SEARCH("(",'1-zapasy'!C44)-1)</f>
        <v xml:space="preserve">NOVOTNÁ Eliška </v>
      </c>
      <c r="E124" s="359"/>
      <c r="F124" s="359"/>
      <c r="G124" s="359"/>
      <c r="H124" s="359"/>
      <c r="I124" s="359"/>
      <c r="J124" s="360"/>
    </row>
    <row r="125" spans="1:10" ht="24" thickBot="1" x14ac:dyDescent="0.25">
      <c r="A125" s="425" t="s">
        <v>165</v>
      </c>
      <c r="B125" s="426"/>
      <c r="C125" s="361" t="str">
        <f>C120</f>
        <v xml:space="preserve">BUK Lukáš </v>
      </c>
      <c r="D125" s="362" t="s">
        <v>166</v>
      </c>
      <c r="E125" s="427"/>
      <c r="F125" s="427"/>
      <c r="G125" s="427"/>
      <c r="H125" s="427"/>
      <c r="I125" s="427"/>
      <c r="J125" s="428"/>
    </row>
    <row r="126" spans="1:10" ht="13.5" thickBot="1" x14ac:dyDescent="0.25">
      <c r="A126" s="367"/>
    </row>
    <row r="127" spans="1:10" x14ac:dyDescent="0.2">
      <c r="A127" s="348"/>
      <c r="B127" s="349" t="s">
        <v>60</v>
      </c>
      <c r="C127" s="350" t="s">
        <v>96</v>
      </c>
      <c r="D127" s="350" t="s">
        <v>97</v>
      </c>
      <c r="E127" s="351" t="s">
        <v>162</v>
      </c>
      <c r="F127" s="351" t="s">
        <v>163</v>
      </c>
      <c r="G127" s="351" t="s">
        <v>164</v>
      </c>
      <c r="H127" s="351" t="s">
        <v>221</v>
      </c>
      <c r="I127" s="351" t="s">
        <v>220</v>
      </c>
      <c r="J127" s="352" t="s">
        <v>161</v>
      </c>
    </row>
    <row r="128" spans="1:10" ht="23.25" x14ac:dyDescent="0.2">
      <c r="A128" s="380" t="str">
        <f>'1-zapasy'!A45</f>
        <v>A6-3</v>
      </c>
      <c r="B128" s="356"/>
      <c r="C128" s="357" t="str">
        <f>LEFT('1-zapasy'!B45,SEARCH("(",'1-zapasy'!B45)-1)</f>
        <v xml:space="preserve">DREITS Anastasiia </v>
      </c>
      <c r="D128" s="357" t="str">
        <f>LEFT('1-zapasy'!C45,SEARCH("(",'1-zapasy'!C45)-1)</f>
        <v xml:space="preserve">MAZALOVÁ Kristýna </v>
      </c>
      <c r="E128" s="359"/>
      <c r="F128" s="359"/>
      <c r="G128" s="359"/>
      <c r="H128" s="359"/>
      <c r="I128" s="359"/>
      <c r="J128" s="360"/>
    </row>
    <row r="129" spans="1:10" ht="24" thickBot="1" x14ac:dyDescent="0.25">
      <c r="A129" s="425" t="s">
        <v>165</v>
      </c>
      <c r="B129" s="426"/>
      <c r="C129" s="361" t="str">
        <f>D124</f>
        <v xml:space="preserve">NOVOTNÁ Eliška </v>
      </c>
      <c r="D129" s="362" t="s">
        <v>166</v>
      </c>
      <c r="E129" s="427"/>
      <c r="F129" s="427"/>
      <c r="G129" s="427"/>
      <c r="H129" s="427"/>
      <c r="I129" s="427"/>
      <c r="J129" s="428"/>
    </row>
    <row r="130" spans="1:10" ht="13.5" thickBot="1" x14ac:dyDescent="0.25">
      <c r="A130" s="367"/>
    </row>
    <row r="131" spans="1:10" x14ac:dyDescent="0.2">
      <c r="A131" s="348"/>
      <c r="B131" s="349" t="s">
        <v>60</v>
      </c>
      <c r="C131" s="350" t="s">
        <v>96</v>
      </c>
      <c r="D131" s="350" t="s">
        <v>97</v>
      </c>
      <c r="E131" s="351" t="s">
        <v>162</v>
      </c>
      <c r="F131" s="351" t="s">
        <v>163</v>
      </c>
      <c r="G131" s="351" t="s">
        <v>164</v>
      </c>
      <c r="H131" s="351" t="s">
        <v>221</v>
      </c>
      <c r="I131" s="351" t="s">
        <v>220</v>
      </c>
      <c r="J131" s="352" t="s">
        <v>161</v>
      </c>
    </row>
    <row r="132" spans="1:10" ht="23.25" x14ac:dyDescent="0.2">
      <c r="A132" s="380" t="str">
        <f>'1-zapasy'!A46</f>
        <v>A6-4</v>
      </c>
      <c r="B132" s="356"/>
      <c r="C132" s="357" t="str">
        <f>LEFT('1-zapasy'!B46,SEARCH("(",'1-zapasy'!B46)-1)</f>
        <v xml:space="preserve">NOVOTNÁ Eliška </v>
      </c>
      <c r="D132" s="357" t="str">
        <f>LEFT('1-zapasy'!C46,SEARCH("(",'1-zapasy'!C46)-1)</f>
        <v xml:space="preserve">BUK Lukáš </v>
      </c>
      <c r="E132" s="359"/>
      <c r="F132" s="359"/>
      <c r="G132" s="359"/>
      <c r="H132" s="359"/>
      <c r="I132" s="359"/>
      <c r="J132" s="360"/>
    </row>
    <row r="133" spans="1:10" ht="24" thickBot="1" x14ac:dyDescent="0.25">
      <c r="A133" s="425" t="s">
        <v>165</v>
      </c>
      <c r="B133" s="426"/>
      <c r="C133" s="361" t="str">
        <f>C128</f>
        <v xml:space="preserve">DREITS Anastasiia </v>
      </c>
      <c r="D133" s="362" t="s">
        <v>166</v>
      </c>
      <c r="E133" s="427"/>
      <c r="F133" s="427"/>
      <c r="G133" s="427"/>
      <c r="H133" s="427"/>
      <c r="I133" s="427"/>
      <c r="J133" s="428"/>
    </row>
    <row r="134" spans="1:10" ht="13.5" thickBot="1" x14ac:dyDescent="0.25">
      <c r="A134" s="367"/>
    </row>
    <row r="135" spans="1:10" x14ac:dyDescent="0.2">
      <c r="A135" s="348"/>
      <c r="B135" s="349" t="s">
        <v>60</v>
      </c>
      <c r="C135" s="350" t="s">
        <v>96</v>
      </c>
      <c r="D135" s="350" t="s">
        <v>97</v>
      </c>
      <c r="E135" s="351" t="s">
        <v>162</v>
      </c>
      <c r="F135" s="351" t="s">
        <v>163</v>
      </c>
      <c r="G135" s="351" t="s">
        <v>164</v>
      </c>
      <c r="H135" s="351" t="s">
        <v>221</v>
      </c>
      <c r="I135" s="351" t="s">
        <v>220</v>
      </c>
      <c r="J135" s="352" t="s">
        <v>161</v>
      </c>
    </row>
    <row r="136" spans="1:10" ht="23.25" x14ac:dyDescent="0.2">
      <c r="A136" s="380" t="str">
        <f>'1-zapasy'!A47</f>
        <v>A6-5</v>
      </c>
      <c r="B136" s="356"/>
      <c r="C136" s="357" t="str">
        <f>LEFT('1-zapasy'!B47,SEARCH("(",'1-zapasy'!B47)-1)</f>
        <v xml:space="preserve">NOVOTNÁ Eliška </v>
      </c>
      <c r="D136" s="357" t="str">
        <f>LEFT('1-zapasy'!C47,SEARCH("(",'1-zapasy'!C47)-1)</f>
        <v xml:space="preserve">DREITS Anastasiia </v>
      </c>
      <c r="E136" s="359"/>
      <c r="F136" s="359"/>
      <c r="G136" s="359"/>
      <c r="H136" s="359"/>
      <c r="I136" s="359"/>
      <c r="J136" s="360"/>
    </row>
    <row r="137" spans="1:10" ht="24" thickBot="1" x14ac:dyDescent="0.25">
      <c r="A137" s="425" t="s">
        <v>165</v>
      </c>
      <c r="B137" s="426"/>
      <c r="C137" s="361" t="str">
        <f>C121</f>
        <v xml:space="preserve">MAZALOVÁ Kristýna </v>
      </c>
      <c r="D137" s="362" t="s">
        <v>166</v>
      </c>
      <c r="E137" s="427"/>
      <c r="F137" s="427"/>
      <c r="G137" s="427"/>
      <c r="H137" s="427"/>
      <c r="I137" s="427"/>
      <c r="J137" s="428"/>
    </row>
    <row r="138" spans="1:10" ht="13.5" thickBot="1" x14ac:dyDescent="0.25"/>
    <row r="139" spans="1:10" x14ac:dyDescent="0.2">
      <c r="A139" s="348"/>
      <c r="B139" s="349" t="s">
        <v>60</v>
      </c>
      <c r="C139" s="350" t="s">
        <v>96</v>
      </c>
      <c r="D139" s="350" t="s">
        <v>97</v>
      </c>
      <c r="E139" s="351" t="s">
        <v>162</v>
      </c>
      <c r="F139" s="351" t="s">
        <v>163</v>
      </c>
      <c r="G139" s="351" t="s">
        <v>164</v>
      </c>
      <c r="H139" s="351" t="s">
        <v>221</v>
      </c>
      <c r="I139" s="351" t="s">
        <v>220</v>
      </c>
      <c r="J139" s="352" t="s">
        <v>161</v>
      </c>
    </row>
    <row r="140" spans="1:10" ht="23.25" x14ac:dyDescent="0.2">
      <c r="A140" s="380" t="str">
        <f>'1-zapasy'!A48</f>
        <v>A6-6</v>
      </c>
      <c r="B140" s="356"/>
      <c r="C140" s="357" t="str">
        <f>LEFT('1-zapasy'!B48,SEARCH("(",'1-zapasy'!B48)-1)</f>
        <v xml:space="preserve">BUK Lukáš </v>
      </c>
      <c r="D140" s="357" t="str">
        <f>LEFT('1-zapasy'!C48,SEARCH("(",'1-zapasy'!C48)-1)</f>
        <v xml:space="preserve">MAZALOVÁ Kristýna </v>
      </c>
      <c r="E140" s="359"/>
      <c r="F140" s="359"/>
      <c r="G140" s="359"/>
      <c r="H140" s="359"/>
      <c r="I140" s="359"/>
      <c r="J140" s="360"/>
    </row>
    <row r="141" spans="1:10" ht="24" thickBot="1" x14ac:dyDescent="0.25">
      <c r="A141" s="425" t="s">
        <v>165</v>
      </c>
      <c r="B141" s="426"/>
      <c r="C141" s="361" t="str">
        <f>C129</f>
        <v xml:space="preserve">NOVOTNÁ Eliška </v>
      </c>
      <c r="D141" s="362" t="s">
        <v>166</v>
      </c>
      <c r="E141" s="427"/>
      <c r="F141" s="427"/>
      <c r="G141" s="427"/>
      <c r="H141" s="427"/>
      <c r="I141" s="427"/>
      <c r="J141" s="428"/>
    </row>
    <row r="142" spans="1:10" x14ac:dyDescent="0.2">
      <c r="A142" s="348"/>
      <c r="B142" s="349" t="s">
        <v>60</v>
      </c>
      <c r="C142" s="350" t="s">
        <v>96</v>
      </c>
      <c r="D142" s="350" t="s">
        <v>97</v>
      </c>
      <c r="E142" s="351" t="s">
        <v>162</v>
      </c>
      <c r="F142" s="351" t="s">
        <v>163</v>
      </c>
      <c r="G142" s="351" t="s">
        <v>164</v>
      </c>
      <c r="H142" s="351" t="s">
        <v>221</v>
      </c>
      <c r="I142" s="351" t="s">
        <v>220</v>
      </c>
      <c r="J142" s="352" t="s">
        <v>161</v>
      </c>
    </row>
    <row r="143" spans="1:10" ht="23.25" x14ac:dyDescent="0.2">
      <c r="A143" s="380" t="str">
        <f>'1-zapasy'!A51</f>
        <v>A7-1</v>
      </c>
      <c r="B143" s="356"/>
      <c r="C143" s="357" t="str">
        <f>LEFT('1-zapasy'!B51,SEARCH("(",'1-zapasy'!B51)-1)</f>
        <v xml:space="preserve">POKORNÝ Martin </v>
      </c>
      <c r="D143" s="357" t="e">
        <f>LEFT('1-zapasy'!C51,SEARCH("(",'1-zapasy'!C51)-1)</f>
        <v>#VALUE!</v>
      </c>
      <c r="E143" s="358"/>
      <c r="F143" s="359"/>
      <c r="G143" s="359"/>
      <c r="H143" s="359"/>
      <c r="I143" s="359"/>
      <c r="J143" s="360"/>
    </row>
    <row r="144" spans="1:10" ht="24" thickBot="1" x14ac:dyDescent="0.25">
      <c r="A144" s="425" t="s">
        <v>165</v>
      </c>
      <c r="B144" s="426"/>
      <c r="C144" s="361" t="str">
        <f>C147</f>
        <v xml:space="preserve">HAVRÁNEK Ondřej </v>
      </c>
      <c r="D144" s="362" t="s">
        <v>166</v>
      </c>
      <c r="E144" s="427"/>
      <c r="F144" s="427"/>
      <c r="G144" s="427"/>
      <c r="H144" s="427"/>
      <c r="I144" s="427"/>
      <c r="J144" s="428"/>
    </row>
    <row r="145" spans="1:10" ht="13.5" thickBot="1" x14ac:dyDescent="0.25"/>
    <row r="146" spans="1:10" x14ac:dyDescent="0.2">
      <c r="A146" s="348"/>
      <c r="B146" s="349" t="s">
        <v>60</v>
      </c>
      <c r="C146" s="350" t="s">
        <v>96</v>
      </c>
      <c r="D146" s="350" t="s">
        <v>97</v>
      </c>
      <c r="E146" s="351" t="s">
        <v>162</v>
      </c>
      <c r="F146" s="351" t="s">
        <v>163</v>
      </c>
      <c r="G146" s="351" t="s">
        <v>164</v>
      </c>
      <c r="H146" s="351" t="s">
        <v>221</v>
      </c>
      <c r="I146" s="351" t="s">
        <v>220</v>
      </c>
      <c r="J146" s="352" t="s">
        <v>161</v>
      </c>
    </row>
    <row r="147" spans="1:10" ht="23.25" x14ac:dyDescent="0.2">
      <c r="A147" s="380" t="str">
        <f>'1-zapasy'!A52</f>
        <v>A7-2</v>
      </c>
      <c r="B147" s="356"/>
      <c r="C147" s="357" t="str">
        <f>LEFT('1-zapasy'!B52,SEARCH("(",'1-zapasy'!B52)-1)</f>
        <v xml:space="preserve">HAVRÁNEK Ondřej </v>
      </c>
      <c r="D147" s="357" t="str">
        <f>LEFT('1-zapasy'!C52,SEARCH("(",'1-zapasy'!C52)-1)</f>
        <v xml:space="preserve">KRÁL Ondřej </v>
      </c>
      <c r="E147" s="359"/>
      <c r="F147" s="359"/>
      <c r="G147" s="359"/>
      <c r="H147" s="359"/>
      <c r="I147" s="359"/>
      <c r="J147" s="360"/>
    </row>
    <row r="148" spans="1:10" ht="24" thickBot="1" x14ac:dyDescent="0.25">
      <c r="A148" s="425" t="s">
        <v>165</v>
      </c>
      <c r="B148" s="426"/>
      <c r="C148" s="361" t="str">
        <f>C143</f>
        <v xml:space="preserve">POKORNÝ Martin </v>
      </c>
      <c r="D148" s="362" t="s">
        <v>166</v>
      </c>
      <c r="E148" s="427"/>
      <c r="F148" s="427"/>
      <c r="G148" s="427"/>
      <c r="H148" s="427"/>
      <c r="I148" s="427"/>
      <c r="J148" s="428"/>
    </row>
    <row r="149" spans="1:10" ht="13.5" thickBot="1" x14ac:dyDescent="0.25">
      <c r="A149" s="367"/>
    </row>
    <row r="150" spans="1:10" x14ac:dyDescent="0.2">
      <c r="A150" s="348"/>
      <c r="B150" s="349" t="s">
        <v>60</v>
      </c>
      <c r="C150" s="350" t="s">
        <v>96</v>
      </c>
      <c r="D150" s="350" t="s">
        <v>97</v>
      </c>
      <c r="E150" s="351" t="s">
        <v>162</v>
      </c>
      <c r="F150" s="351" t="s">
        <v>163</v>
      </c>
      <c r="G150" s="351" t="s">
        <v>164</v>
      </c>
      <c r="H150" s="351" t="s">
        <v>221</v>
      </c>
      <c r="I150" s="351" t="s">
        <v>220</v>
      </c>
      <c r="J150" s="352" t="s">
        <v>161</v>
      </c>
    </row>
    <row r="151" spans="1:10" ht="23.25" x14ac:dyDescent="0.2">
      <c r="A151" s="380" t="str">
        <f>'1-zapasy'!A53</f>
        <v>A7-3</v>
      </c>
      <c r="B151" s="356"/>
      <c r="C151" s="357" t="e">
        <f>LEFT('1-zapasy'!B53,SEARCH("(",'1-zapasy'!B53)-1)</f>
        <v>#VALUE!</v>
      </c>
      <c r="D151" s="357" t="str">
        <f>LEFT('1-zapasy'!C53,SEARCH("(",'1-zapasy'!C53)-1)</f>
        <v xml:space="preserve">HAVRÁNEK Ondřej </v>
      </c>
      <c r="E151" s="359"/>
      <c r="F151" s="359"/>
      <c r="G151" s="359"/>
      <c r="H151" s="359"/>
      <c r="I151" s="359"/>
      <c r="J151" s="360"/>
    </row>
    <row r="152" spans="1:10" ht="24" thickBot="1" x14ac:dyDescent="0.25">
      <c r="A152" s="425" t="s">
        <v>165</v>
      </c>
      <c r="B152" s="426"/>
      <c r="C152" s="361" t="str">
        <f>C155</f>
        <v xml:space="preserve">KRÁL Ondřej </v>
      </c>
      <c r="D152" s="362" t="s">
        <v>166</v>
      </c>
      <c r="E152" s="427"/>
      <c r="F152" s="427"/>
      <c r="G152" s="427"/>
      <c r="H152" s="427"/>
      <c r="I152" s="427"/>
      <c r="J152" s="428"/>
    </row>
    <row r="153" spans="1:10" ht="13.5" thickBot="1" x14ac:dyDescent="0.25"/>
    <row r="154" spans="1:10" x14ac:dyDescent="0.2">
      <c r="A154" s="348"/>
      <c r="B154" s="349" t="s">
        <v>60</v>
      </c>
      <c r="C154" s="350" t="s">
        <v>96</v>
      </c>
      <c r="D154" s="350" t="s">
        <v>97</v>
      </c>
      <c r="E154" s="351" t="s">
        <v>162</v>
      </c>
      <c r="F154" s="351" t="s">
        <v>163</v>
      </c>
      <c r="G154" s="351" t="s">
        <v>164</v>
      </c>
      <c r="H154" s="351" t="s">
        <v>221</v>
      </c>
      <c r="I154" s="351" t="s">
        <v>220</v>
      </c>
      <c r="J154" s="352" t="s">
        <v>161</v>
      </c>
    </row>
    <row r="155" spans="1:10" ht="23.25" x14ac:dyDescent="0.2">
      <c r="A155" s="380" t="str">
        <f>'1-zapasy'!A54</f>
        <v>A7-4</v>
      </c>
      <c r="B155" s="356"/>
      <c r="C155" s="357" t="str">
        <f>LEFT('1-zapasy'!B54,SEARCH("(",'1-zapasy'!B54)-1)</f>
        <v xml:space="preserve">KRÁL Ondřej </v>
      </c>
      <c r="D155" s="357" t="str">
        <f>LEFT('1-zapasy'!C54,SEARCH("(",'1-zapasy'!C54)-1)</f>
        <v xml:space="preserve">POKORNÝ Martin </v>
      </c>
      <c r="E155" s="359"/>
      <c r="F155" s="359"/>
      <c r="G155" s="359"/>
      <c r="H155" s="359"/>
      <c r="I155" s="359"/>
      <c r="J155" s="360"/>
    </row>
    <row r="156" spans="1:10" ht="24" thickBot="1" x14ac:dyDescent="0.25">
      <c r="A156" s="425" t="s">
        <v>165</v>
      </c>
      <c r="B156" s="426"/>
      <c r="C156" s="361" t="e">
        <f>C151</f>
        <v>#VALUE!</v>
      </c>
      <c r="D156" s="362" t="s">
        <v>166</v>
      </c>
      <c r="E156" s="427"/>
      <c r="F156" s="427"/>
      <c r="G156" s="427"/>
      <c r="H156" s="427"/>
      <c r="I156" s="427"/>
      <c r="J156" s="428"/>
    </row>
    <row r="157" spans="1:10" ht="13.5" thickBot="1" x14ac:dyDescent="0.25">
      <c r="A157" s="367"/>
    </row>
    <row r="158" spans="1:10" x14ac:dyDescent="0.2">
      <c r="A158" s="348"/>
      <c r="B158" s="349" t="s">
        <v>60</v>
      </c>
      <c r="C158" s="350" t="s">
        <v>96</v>
      </c>
      <c r="D158" s="350" t="s">
        <v>97</v>
      </c>
      <c r="E158" s="351" t="s">
        <v>162</v>
      </c>
      <c r="F158" s="351" t="s">
        <v>163</v>
      </c>
      <c r="G158" s="351" t="s">
        <v>164</v>
      </c>
      <c r="H158" s="351" t="s">
        <v>221</v>
      </c>
      <c r="I158" s="351" t="s">
        <v>220</v>
      </c>
      <c r="J158" s="352" t="s">
        <v>161</v>
      </c>
    </row>
    <row r="159" spans="1:10" ht="23.25" x14ac:dyDescent="0.2">
      <c r="A159" s="380" t="str">
        <f>'1-zapasy'!A55</f>
        <v>A7-5</v>
      </c>
      <c r="B159" s="356"/>
      <c r="C159" s="357" t="str">
        <f>LEFT('1-zapasy'!B55,SEARCH("(",'1-zapasy'!B55)-1)</f>
        <v xml:space="preserve">KRÁL Ondřej </v>
      </c>
      <c r="D159" s="357" t="e">
        <f>LEFT('1-zapasy'!C55,SEARCH("(",'1-zapasy'!C55)-1)</f>
        <v>#VALUE!</v>
      </c>
      <c r="E159" s="359"/>
      <c r="F159" s="359"/>
      <c r="G159" s="359"/>
      <c r="H159" s="359"/>
      <c r="I159" s="359"/>
      <c r="J159" s="360"/>
    </row>
    <row r="160" spans="1:10" ht="24" thickBot="1" x14ac:dyDescent="0.25">
      <c r="A160" s="425" t="s">
        <v>165</v>
      </c>
      <c r="B160" s="426"/>
      <c r="C160" s="361" t="str">
        <f>C144</f>
        <v xml:space="preserve">HAVRÁNEK Ondřej </v>
      </c>
      <c r="D160" s="362" t="s">
        <v>166</v>
      </c>
      <c r="E160" s="427"/>
      <c r="F160" s="427"/>
      <c r="G160" s="427"/>
      <c r="H160" s="427"/>
      <c r="I160" s="427"/>
      <c r="J160" s="428"/>
    </row>
    <row r="161" spans="1:10" ht="13.5" thickBot="1" x14ac:dyDescent="0.25"/>
    <row r="162" spans="1:10" x14ac:dyDescent="0.2">
      <c r="A162" s="348"/>
      <c r="B162" s="349" t="s">
        <v>60</v>
      </c>
      <c r="C162" s="350" t="s">
        <v>96</v>
      </c>
      <c r="D162" s="350" t="s">
        <v>97</v>
      </c>
      <c r="E162" s="351" t="s">
        <v>162</v>
      </c>
      <c r="F162" s="351" t="s">
        <v>163</v>
      </c>
      <c r="G162" s="351" t="s">
        <v>164</v>
      </c>
      <c r="H162" s="351" t="s">
        <v>221</v>
      </c>
      <c r="I162" s="351" t="s">
        <v>220</v>
      </c>
      <c r="J162" s="352" t="s">
        <v>161</v>
      </c>
    </row>
    <row r="163" spans="1:10" ht="23.25" x14ac:dyDescent="0.2">
      <c r="A163" s="380" t="str">
        <f>'1-zapasy'!A56</f>
        <v>A7-6</v>
      </c>
      <c r="B163" s="356"/>
      <c r="C163" s="357" t="str">
        <f>LEFT('1-zapasy'!B56,SEARCH("(",'1-zapasy'!B56)-1)</f>
        <v xml:space="preserve">POKORNÝ Martin </v>
      </c>
      <c r="D163" s="357" t="str">
        <f>LEFT('1-zapasy'!C56,SEARCH("(",'1-zapasy'!C56)-1)</f>
        <v xml:space="preserve">HAVRÁNEK Ondřej </v>
      </c>
      <c r="E163" s="359"/>
      <c r="F163" s="359"/>
      <c r="G163" s="359"/>
      <c r="H163" s="359"/>
      <c r="I163" s="359"/>
      <c r="J163" s="360"/>
    </row>
    <row r="164" spans="1:10" ht="24" thickBot="1" x14ac:dyDescent="0.25">
      <c r="A164" s="425" t="s">
        <v>165</v>
      </c>
      <c r="B164" s="426"/>
      <c r="C164" s="361" t="str">
        <f>C152</f>
        <v xml:space="preserve">KRÁL Ondřej </v>
      </c>
      <c r="D164" s="362" t="s">
        <v>166</v>
      </c>
      <c r="E164" s="427"/>
      <c r="F164" s="427"/>
      <c r="G164" s="427"/>
      <c r="H164" s="427"/>
      <c r="I164" s="427"/>
      <c r="J164" s="428"/>
    </row>
    <row r="165" spans="1:10" ht="13.5" thickBot="1" x14ac:dyDescent="0.25">
      <c r="A165" s="367"/>
    </row>
    <row r="166" spans="1:10" x14ac:dyDescent="0.2">
      <c r="A166" s="348"/>
      <c r="B166" s="349" t="s">
        <v>60</v>
      </c>
      <c r="C166" s="350" t="s">
        <v>96</v>
      </c>
      <c r="D166" s="350" t="s">
        <v>97</v>
      </c>
      <c r="E166" s="351" t="s">
        <v>162</v>
      </c>
      <c r="F166" s="351" t="s">
        <v>163</v>
      </c>
      <c r="G166" s="351" t="s">
        <v>164</v>
      </c>
      <c r="H166" s="351" t="s">
        <v>221</v>
      </c>
      <c r="I166" s="351" t="s">
        <v>220</v>
      </c>
      <c r="J166" s="352" t="s">
        <v>161</v>
      </c>
    </row>
    <row r="167" spans="1:10" ht="23.25" x14ac:dyDescent="0.2">
      <c r="A167" s="380" t="str">
        <f>'1-zapasy'!A59</f>
        <v>A8-1</v>
      </c>
      <c r="B167" s="356"/>
      <c r="C167" s="357" t="str">
        <f>LEFT('1-zapasy'!B59,SEARCH("(",'1-zapasy'!B59)-1)</f>
        <v xml:space="preserve">DOFEK David </v>
      </c>
      <c r="D167" s="357" t="str">
        <f>LEFT('1-zapasy'!C59,SEARCH("(",'1-zapasy'!C59)-1)</f>
        <v xml:space="preserve">ŠIMEČEK Robin </v>
      </c>
      <c r="E167" s="358"/>
      <c r="F167" s="359"/>
      <c r="G167" s="359"/>
      <c r="H167" s="359"/>
      <c r="I167" s="359"/>
      <c r="J167" s="360"/>
    </row>
    <row r="168" spans="1:10" ht="24" thickBot="1" x14ac:dyDescent="0.25">
      <c r="A168" s="425" t="s">
        <v>165</v>
      </c>
      <c r="B168" s="426"/>
      <c r="C168" s="361" t="str">
        <f>C171</f>
        <v xml:space="preserve">PILITOWSKÁ Lea </v>
      </c>
      <c r="D168" s="362" t="s">
        <v>166</v>
      </c>
      <c r="E168" s="427"/>
      <c r="F168" s="427"/>
      <c r="G168" s="427"/>
      <c r="H168" s="427"/>
      <c r="I168" s="427"/>
      <c r="J168" s="428"/>
    </row>
    <row r="169" spans="1:10" ht="13.5" thickBot="1" x14ac:dyDescent="0.25"/>
    <row r="170" spans="1:10" x14ac:dyDescent="0.2">
      <c r="A170" s="348"/>
      <c r="B170" s="349" t="s">
        <v>60</v>
      </c>
      <c r="C170" s="350" t="s">
        <v>96</v>
      </c>
      <c r="D170" s="350" t="s">
        <v>97</v>
      </c>
      <c r="E170" s="351" t="s">
        <v>162</v>
      </c>
      <c r="F170" s="351" t="s">
        <v>163</v>
      </c>
      <c r="G170" s="351" t="s">
        <v>164</v>
      </c>
      <c r="H170" s="351" t="s">
        <v>221</v>
      </c>
      <c r="I170" s="351" t="s">
        <v>220</v>
      </c>
      <c r="J170" s="352" t="s">
        <v>161</v>
      </c>
    </row>
    <row r="171" spans="1:10" ht="23.25" x14ac:dyDescent="0.2">
      <c r="A171" s="380" t="str">
        <f>'1-zapasy'!A60</f>
        <v>A8-2</v>
      </c>
      <c r="B171" s="356"/>
      <c r="C171" s="357" t="str">
        <f>LEFT('1-zapasy'!B60,SEARCH("(",'1-zapasy'!B60)-1)</f>
        <v xml:space="preserve">PILITOWSKÁ Lea </v>
      </c>
      <c r="D171" s="357" t="str">
        <f>LEFT('1-zapasy'!C60,SEARCH("(",'1-zapasy'!C60)-1)</f>
        <v xml:space="preserve">PAŘÍZEK Richard </v>
      </c>
      <c r="E171" s="359"/>
      <c r="F171" s="359"/>
      <c r="G171" s="359"/>
      <c r="H171" s="359"/>
      <c r="I171" s="359"/>
      <c r="J171" s="360"/>
    </row>
    <row r="172" spans="1:10" ht="24" thickBot="1" x14ac:dyDescent="0.25">
      <c r="A172" s="425" t="s">
        <v>165</v>
      </c>
      <c r="B172" s="426"/>
      <c r="C172" s="361" t="str">
        <f>C167</f>
        <v xml:space="preserve">DOFEK David </v>
      </c>
      <c r="D172" s="362" t="s">
        <v>166</v>
      </c>
      <c r="E172" s="427"/>
      <c r="F172" s="427"/>
      <c r="G172" s="427"/>
      <c r="H172" s="427"/>
      <c r="I172" s="427"/>
      <c r="J172" s="428"/>
    </row>
    <row r="173" spans="1:10" ht="13.5" thickBot="1" x14ac:dyDescent="0.25">
      <c r="A173" s="367"/>
    </row>
    <row r="174" spans="1:10" x14ac:dyDescent="0.2">
      <c r="A174" s="348"/>
      <c r="B174" s="349" t="s">
        <v>60</v>
      </c>
      <c r="C174" s="350" t="s">
        <v>96</v>
      </c>
      <c r="D174" s="350" t="s">
        <v>97</v>
      </c>
      <c r="E174" s="351" t="s">
        <v>162</v>
      </c>
      <c r="F174" s="351" t="s">
        <v>163</v>
      </c>
      <c r="G174" s="351" t="s">
        <v>164</v>
      </c>
      <c r="H174" s="351" t="s">
        <v>221</v>
      </c>
      <c r="I174" s="351" t="s">
        <v>220</v>
      </c>
      <c r="J174" s="352" t="s">
        <v>161</v>
      </c>
    </row>
    <row r="175" spans="1:10" ht="23.25" x14ac:dyDescent="0.2">
      <c r="A175" s="380" t="str">
        <f>'1-zapasy'!A61</f>
        <v>A8-3</v>
      </c>
      <c r="B175" s="356"/>
      <c r="C175" s="357" t="str">
        <f>LEFT('1-zapasy'!B61,SEARCH("(",'1-zapasy'!B61)-1)</f>
        <v xml:space="preserve">ŠIMEČEK Robin </v>
      </c>
      <c r="D175" s="357" t="str">
        <f>LEFT('1-zapasy'!C61,SEARCH("(",'1-zapasy'!C61)-1)</f>
        <v xml:space="preserve">PILITOWSKÁ Lea </v>
      </c>
      <c r="E175" s="359"/>
      <c r="F175" s="359"/>
      <c r="G175" s="359"/>
      <c r="H175" s="359"/>
      <c r="I175" s="359"/>
      <c r="J175" s="360"/>
    </row>
    <row r="176" spans="1:10" ht="24" thickBot="1" x14ac:dyDescent="0.25">
      <c r="A176" s="425" t="s">
        <v>165</v>
      </c>
      <c r="B176" s="426"/>
      <c r="C176" s="361" t="str">
        <f>C179</f>
        <v xml:space="preserve">PAŘÍZEK Richard </v>
      </c>
      <c r="D176" s="362" t="s">
        <v>166</v>
      </c>
      <c r="E176" s="427"/>
      <c r="F176" s="427"/>
      <c r="G176" s="427"/>
      <c r="H176" s="427"/>
      <c r="I176" s="427"/>
      <c r="J176" s="428"/>
    </row>
    <row r="177" spans="1:10" ht="13.5" thickBot="1" x14ac:dyDescent="0.25">
      <c r="A177" s="367"/>
    </row>
    <row r="178" spans="1:10" x14ac:dyDescent="0.2">
      <c r="A178" s="348"/>
      <c r="B178" s="349" t="s">
        <v>60</v>
      </c>
      <c r="C178" s="350" t="s">
        <v>96</v>
      </c>
      <c r="D178" s="350" t="s">
        <v>97</v>
      </c>
      <c r="E178" s="351" t="s">
        <v>162</v>
      </c>
      <c r="F178" s="351" t="s">
        <v>163</v>
      </c>
      <c r="G178" s="351" t="s">
        <v>164</v>
      </c>
      <c r="H178" s="351" t="s">
        <v>221</v>
      </c>
      <c r="I178" s="351" t="s">
        <v>220</v>
      </c>
      <c r="J178" s="352" t="s">
        <v>161</v>
      </c>
    </row>
    <row r="179" spans="1:10" ht="23.25" x14ac:dyDescent="0.2">
      <c r="A179" s="380" t="str">
        <f>'1-zapasy'!A62</f>
        <v>A8-4</v>
      </c>
      <c r="B179" s="356"/>
      <c r="C179" s="357" t="str">
        <f>LEFT('1-zapasy'!B62,SEARCH("(",'1-zapasy'!B62)-1)</f>
        <v xml:space="preserve">PAŘÍZEK Richard </v>
      </c>
      <c r="D179" s="357" t="str">
        <f>LEFT('1-zapasy'!C62,SEARCH("(",'1-zapasy'!C62)-1)</f>
        <v xml:space="preserve">DOFEK David </v>
      </c>
      <c r="E179" s="359"/>
      <c r="F179" s="359"/>
      <c r="G179" s="359"/>
      <c r="H179" s="359"/>
      <c r="I179" s="359"/>
      <c r="J179" s="360"/>
    </row>
    <row r="180" spans="1:10" ht="24" thickBot="1" x14ac:dyDescent="0.25">
      <c r="A180" s="425" t="s">
        <v>165</v>
      </c>
      <c r="B180" s="426"/>
      <c r="C180" s="361" t="str">
        <f>C175</f>
        <v xml:space="preserve">ŠIMEČEK Robin </v>
      </c>
      <c r="D180" s="362" t="s">
        <v>166</v>
      </c>
      <c r="E180" s="427"/>
      <c r="F180" s="427"/>
      <c r="G180" s="427"/>
      <c r="H180" s="427"/>
      <c r="I180" s="427"/>
      <c r="J180" s="428"/>
    </row>
    <row r="181" spans="1:10" ht="13.5" thickBot="1" x14ac:dyDescent="0.25">
      <c r="A181" s="367"/>
    </row>
    <row r="182" spans="1:10" x14ac:dyDescent="0.2">
      <c r="A182" s="348"/>
      <c r="B182" s="349" t="s">
        <v>60</v>
      </c>
      <c r="C182" s="350" t="s">
        <v>96</v>
      </c>
      <c r="D182" s="350" t="s">
        <v>97</v>
      </c>
      <c r="E182" s="351" t="s">
        <v>162</v>
      </c>
      <c r="F182" s="351" t="s">
        <v>163</v>
      </c>
      <c r="G182" s="351" t="s">
        <v>164</v>
      </c>
      <c r="H182" s="351" t="s">
        <v>221</v>
      </c>
      <c r="I182" s="351" t="s">
        <v>220</v>
      </c>
      <c r="J182" s="352" t="s">
        <v>161</v>
      </c>
    </row>
    <row r="183" spans="1:10" ht="23.25" x14ac:dyDescent="0.2">
      <c r="A183" s="380" t="str">
        <f>'1-zapasy'!A63</f>
        <v>A8-5</v>
      </c>
      <c r="B183" s="356"/>
      <c r="C183" s="357" t="str">
        <f>LEFT('1-zapasy'!B63,SEARCH("(",'1-zapasy'!B63)-1)</f>
        <v xml:space="preserve">PAŘÍZEK Richard </v>
      </c>
      <c r="D183" s="357" t="str">
        <f>LEFT('1-zapasy'!C63,SEARCH("(",'1-zapasy'!C63)-1)</f>
        <v xml:space="preserve">ŠIMEČEK Robin </v>
      </c>
      <c r="E183" s="359"/>
      <c r="F183" s="359"/>
      <c r="G183" s="359"/>
      <c r="H183" s="359"/>
      <c r="I183" s="359"/>
      <c r="J183" s="360"/>
    </row>
    <row r="184" spans="1:10" ht="24" thickBot="1" x14ac:dyDescent="0.25">
      <c r="A184" s="425" t="s">
        <v>165</v>
      </c>
      <c r="B184" s="426"/>
      <c r="C184" s="361" t="str">
        <f>C168</f>
        <v xml:space="preserve">PILITOWSKÁ Lea </v>
      </c>
      <c r="D184" s="362" t="s">
        <v>166</v>
      </c>
      <c r="E184" s="427"/>
      <c r="F184" s="427"/>
      <c r="G184" s="427"/>
      <c r="H184" s="427"/>
      <c r="I184" s="427"/>
      <c r="J184" s="428"/>
    </row>
    <row r="185" spans="1:10" ht="13.5" thickBot="1" x14ac:dyDescent="0.25"/>
    <row r="186" spans="1:10" x14ac:dyDescent="0.2">
      <c r="A186" s="348"/>
      <c r="B186" s="349" t="s">
        <v>60</v>
      </c>
      <c r="C186" s="350" t="s">
        <v>96</v>
      </c>
      <c r="D186" s="350" t="s">
        <v>97</v>
      </c>
      <c r="E186" s="351" t="s">
        <v>162</v>
      </c>
      <c r="F186" s="351" t="s">
        <v>163</v>
      </c>
      <c r="G186" s="351" t="s">
        <v>164</v>
      </c>
      <c r="H186" s="351" t="s">
        <v>221</v>
      </c>
      <c r="I186" s="351" t="s">
        <v>220</v>
      </c>
      <c r="J186" s="352" t="s">
        <v>161</v>
      </c>
    </row>
    <row r="187" spans="1:10" ht="23.25" x14ac:dyDescent="0.2">
      <c r="A187" s="380" t="str">
        <f>'1-zapasy'!A64</f>
        <v>A8-6</v>
      </c>
      <c r="B187" s="356"/>
      <c r="C187" s="357" t="str">
        <f>LEFT('1-zapasy'!B64,SEARCH("(",'1-zapasy'!B64)-1)</f>
        <v xml:space="preserve">DOFEK David </v>
      </c>
      <c r="D187" s="357" t="str">
        <f>LEFT('1-zapasy'!C64,SEARCH("(",'1-zapasy'!C64)-1)</f>
        <v xml:space="preserve">PILITOWSKÁ Lea </v>
      </c>
      <c r="E187" s="359"/>
      <c r="F187" s="359"/>
      <c r="G187" s="359"/>
      <c r="H187" s="359"/>
      <c r="I187" s="359"/>
      <c r="J187" s="360"/>
    </row>
    <row r="188" spans="1:10" ht="24" thickBot="1" x14ac:dyDescent="0.25">
      <c r="A188" s="425" t="s">
        <v>165</v>
      </c>
      <c r="B188" s="426"/>
      <c r="C188" s="361" t="str">
        <f>C176</f>
        <v xml:space="preserve">PAŘÍZEK Richard </v>
      </c>
      <c r="D188" s="362" t="s">
        <v>166</v>
      </c>
      <c r="E188" s="427"/>
      <c r="F188" s="427"/>
      <c r="G188" s="427"/>
      <c r="H188" s="427"/>
      <c r="I188" s="427"/>
      <c r="J188" s="428"/>
    </row>
    <row r="189" spans="1:10" x14ac:dyDescent="0.2">
      <c r="A189" s="348"/>
      <c r="B189" s="349" t="s">
        <v>60</v>
      </c>
      <c r="C189" s="350" t="s">
        <v>96</v>
      </c>
      <c r="D189" s="350" t="s">
        <v>97</v>
      </c>
      <c r="E189" s="351" t="s">
        <v>162</v>
      </c>
      <c r="F189" s="351" t="s">
        <v>163</v>
      </c>
      <c r="G189" s="351" t="s">
        <v>164</v>
      </c>
      <c r="H189" s="351" t="s">
        <v>221</v>
      </c>
      <c r="I189" s="351" t="s">
        <v>220</v>
      </c>
      <c r="J189" s="352" t="s">
        <v>161</v>
      </c>
    </row>
    <row r="190" spans="1:10" ht="23.25" x14ac:dyDescent="0.2">
      <c r="A190" s="380" t="str">
        <f>'1-zapasy'!A67</f>
        <v>B5-1</v>
      </c>
      <c r="B190" s="356"/>
      <c r="C190" s="357" t="e">
        <f>LEFT('1-zapasy'!B67,SEARCH("(",'1-zapasy'!B67)-1)</f>
        <v>#VALUE!</v>
      </c>
      <c r="D190" s="357" t="e">
        <f>LEFT('1-zapasy'!C67,SEARCH("(",'1-zapasy'!C67)-1)</f>
        <v>#VALUE!</v>
      </c>
      <c r="E190" s="358"/>
      <c r="F190" s="359"/>
      <c r="G190" s="359"/>
      <c r="H190" s="359"/>
      <c r="I190" s="359"/>
      <c r="J190" s="360"/>
    </row>
    <row r="191" spans="1:10" ht="24" thickBot="1" x14ac:dyDescent="0.25">
      <c r="A191" s="425" t="s">
        <v>165</v>
      </c>
      <c r="B191" s="426"/>
      <c r="C191" s="361" t="e">
        <f>C194</f>
        <v>#VALUE!</v>
      </c>
      <c r="D191" s="362" t="s">
        <v>166</v>
      </c>
      <c r="E191" s="427"/>
      <c r="F191" s="427"/>
      <c r="G191" s="427"/>
      <c r="H191" s="427"/>
      <c r="I191" s="427"/>
      <c r="J191" s="428"/>
    </row>
    <row r="192" spans="1:10" ht="13.5" thickBot="1" x14ac:dyDescent="0.25"/>
    <row r="193" spans="1:10" x14ac:dyDescent="0.2">
      <c r="A193" s="348"/>
      <c r="B193" s="349" t="s">
        <v>60</v>
      </c>
      <c r="C193" s="350" t="s">
        <v>96</v>
      </c>
      <c r="D193" s="350" t="s">
        <v>97</v>
      </c>
      <c r="E193" s="351" t="s">
        <v>162</v>
      </c>
      <c r="F193" s="351" t="s">
        <v>163</v>
      </c>
      <c r="G193" s="351" t="s">
        <v>164</v>
      </c>
      <c r="H193" s="351" t="s">
        <v>221</v>
      </c>
      <c r="I193" s="351" t="s">
        <v>220</v>
      </c>
      <c r="J193" s="352" t="s">
        <v>161</v>
      </c>
    </row>
    <row r="194" spans="1:10" ht="23.25" x14ac:dyDescent="0.2">
      <c r="A194" s="380" t="str">
        <f>'1-zapasy'!A68</f>
        <v>B5-2</v>
      </c>
      <c r="B194" s="356"/>
      <c r="C194" s="357" t="e">
        <f>LEFT('1-zapasy'!B68,SEARCH("(",'1-zapasy'!B68)-1)</f>
        <v>#VALUE!</v>
      </c>
      <c r="D194" s="357" t="e">
        <f>LEFT('1-zapasy'!C68,SEARCH("(",'1-zapasy'!C68)-1)</f>
        <v>#VALUE!</v>
      </c>
      <c r="E194" s="359"/>
      <c r="F194" s="359"/>
      <c r="G194" s="359"/>
      <c r="H194" s="359"/>
      <c r="I194" s="359"/>
      <c r="J194" s="360"/>
    </row>
    <row r="195" spans="1:10" ht="24" thickBot="1" x14ac:dyDescent="0.25">
      <c r="A195" s="425" t="s">
        <v>165</v>
      </c>
      <c r="B195" s="426"/>
      <c r="C195" s="361" t="e">
        <f>C190</f>
        <v>#VALUE!</v>
      </c>
      <c r="D195" s="362" t="s">
        <v>166</v>
      </c>
      <c r="E195" s="427"/>
      <c r="F195" s="427"/>
      <c r="G195" s="427"/>
      <c r="H195" s="427"/>
      <c r="I195" s="427"/>
      <c r="J195" s="428"/>
    </row>
    <row r="196" spans="1:10" ht="13.5" thickBot="1" x14ac:dyDescent="0.25">
      <c r="A196" s="367"/>
    </row>
    <row r="197" spans="1:10" x14ac:dyDescent="0.2">
      <c r="A197" s="348"/>
      <c r="B197" s="349" t="s">
        <v>60</v>
      </c>
      <c r="C197" s="350" t="s">
        <v>96</v>
      </c>
      <c r="D197" s="350" t="s">
        <v>97</v>
      </c>
      <c r="E197" s="351" t="s">
        <v>162</v>
      </c>
      <c r="F197" s="351" t="s">
        <v>163</v>
      </c>
      <c r="G197" s="351" t="s">
        <v>164</v>
      </c>
      <c r="H197" s="351" t="s">
        <v>221</v>
      </c>
      <c r="I197" s="351" t="s">
        <v>220</v>
      </c>
      <c r="J197" s="352" t="s">
        <v>161</v>
      </c>
    </row>
    <row r="198" spans="1:10" ht="23.25" x14ac:dyDescent="0.2">
      <c r="A198" s="380" t="str">
        <f>'1-zapasy'!A69</f>
        <v>B5-3</v>
      </c>
      <c r="B198" s="356"/>
      <c r="C198" s="357" t="e">
        <f>LEFT('1-zapasy'!B69,SEARCH("(",'1-zapasy'!B69)-1)</f>
        <v>#VALUE!</v>
      </c>
      <c r="D198" s="357" t="e">
        <f>LEFT('1-zapasy'!C69,SEARCH("(",'1-zapasy'!C69)-1)</f>
        <v>#VALUE!</v>
      </c>
      <c r="E198" s="359"/>
      <c r="F198" s="359"/>
      <c r="G198" s="359"/>
      <c r="H198" s="359"/>
      <c r="I198" s="359"/>
      <c r="J198" s="360"/>
    </row>
    <row r="199" spans="1:10" ht="24" thickBot="1" x14ac:dyDescent="0.25">
      <c r="A199" s="425" t="s">
        <v>165</v>
      </c>
      <c r="B199" s="426"/>
      <c r="C199" s="361" t="e">
        <f>C202</f>
        <v>#VALUE!</v>
      </c>
      <c r="D199" s="362" t="s">
        <v>166</v>
      </c>
      <c r="E199" s="427"/>
      <c r="F199" s="427"/>
      <c r="G199" s="427"/>
      <c r="H199" s="427"/>
      <c r="I199" s="427"/>
      <c r="J199" s="428"/>
    </row>
    <row r="200" spans="1:10" ht="13.5" thickBot="1" x14ac:dyDescent="0.25"/>
    <row r="201" spans="1:10" x14ac:dyDescent="0.2">
      <c r="A201" s="348"/>
      <c r="B201" s="349" t="s">
        <v>60</v>
      </c>
      <c r="C201" s="350" t="s">
        <v>96</v>
      </c>
      <c r="D201" s="350" t="s">
        <v>97</v>
      </c>
      <c r="E201" s="351" t="s">
        <v>162</v>
      </c>
      <c r="F201" s="351" t="s">
        <v>163</v>
      </c>
      <c r="G201" s="351" t="s">
        <v>164</v>
      </c>
      <c r="H201" s="351" t="s">
        <v>221</v>
      </c>
      <c r="I201" s="351" t="s">
        <v>220</v>
      </c>
      <c r="J201" s="352" t="s">
        <v>161</v>
      </c>
    </row>
    <row r="202" spans="1:10" ht="23.25" x14ac:dyDescent="0.2">
      <c r="A202" s="380" t="str">
        <f>'1-zapasy'!A70</f>
        <v>B5-4</v>
      </c>
      <c r="B202" s="356"/>
      <c r="C202" s="357" t="e">
        <f>LEFT('1-zapasy'!B70,SEARCH("(",'1-zapasy'!B70)-1)</f>
        <v>#VALUE!</v>
      </c>
      <c r="D202" s="357" t="e">
        <f>LEFT('1-zapasy'!C70,SEARCH("(",'1-zapasy'!C70)-1)</f>
        <v>#VALUE!</v>
      </c>
      <c r="E202" s="359"/>
      <c r="F202" s="359"/>
      <c r="G202" s="359"/>
      <c r="H202" s="359"/>
      <c r="I202" s="359"/>
      <c r="J202" s="360"/>
    </row>
    <row r="203" spans="1:10" ht="24" thickBot="1" x14ac:dyDescent="0.25">
      <c r="A203" s="425" t="s">
        <v>165</v>
      </c>
      <c r="B203" s="426"/>
      <c r="C203" s="361" t="e">
        <f>C198</f>
        <v>#VALUE!</v>
      </c>
      <c r="D203" s="362" t="s">
        <v>166</v>
      </c>
      <c r="E203" s="427"/>
      <c r="F203" s="427"/>
      <c r="G203" s="427"/>
      <c r="H203" s="427"/>
      <c r="I203" s="427"/>
      <c r="J203" s="428"/>
    </row>
    <row r="204" spans="1:10" ht="13.5" thickBot="1" x14ac:dyDescent="0.25">
      <c r="A204" s="367"/>
    </row>
    <row r="205" spans="1:10" x14ac:dyDescent="0.2">
      <c r="A205" s="348"/>
      <c r="B205" s="349" t="s">
        <v>60</v>
      </c>
      <c r="C205" s="350" t="s">
        <v>96</v>
      </c>
      <c r="D205" s="350" t="s">
        <v>97</v>
      </c>
      <c r="E205" s="351" t="s">
        <v>162</v>
      </c>
      <c r="F205" s="351" t="s">
        <v>163</v>
      </c>
      <c r="G205" s="351" t="s">
        <v>164</v>
      </c>
      <c r="H205" s="351" t="s">
        <v>221</v>
      </c>
      <c r="I205" s="351" t="s">
        <v>220</v>
      </c>
      <c r="J205" s="352" t="s">
        <v>161</v>
      </c>
    </row>
    <row r="206" spans="1:10" ht="23.25" x14ac:dyDescent="0.2">
      <c r="A206" s="380" t="str">
        <f>'1-zapasy'!A71</f>
        <v>B5-5</v>
      </c>
      <c r="B206" s="356"/>
      <c r="C206" s="357" t="e">
        <f>LEFT('1-zapasy'!B71,SEARCH("(",'1-zapasy'!B71)-1)</f>
        <v>#VALUE!</v>
      </c>
      <c r="D206" s="357" t="e">
        <f>LEFT('1-zapasy'!C71,SEARCH("(",'1-zapasy'!C71)-1)</f>
        <v>#VALUE!</v>
      </c>
      <c r="E206" s="359"/>
      <c r="F206" s="359"/>
      <c r="G206" s="359"/>
      <c r="H206" s="359"/>
      <c r="I206" s="359"/>
      <c r="J206" s="360"/>
    </row>
    <row r="207" spans="1:10" ht="24" thickBot="1" x14ac:dyDescent="0.25">
      <c r="A207" s="425" t="s">
        <v>165</v>
      </c>
      <c r="B207" s="426"/>
      <c r="C207" s="361" t="e">
        <f>C191</f>
        <v>#VALUE!</v>
      </c>
      <c r="D207" s="362" t="s">
        <v>166</v>
      </c>
      <c r="E207" s="427"/>
      <c r="F207" s="427"/>
      <c r="G207" s="427"/>
      <c r="H207" s="427"/>
      <c r="I207" s="427"/>
      <c r="J207" s="428"/>
    </row>
    <row r="208" spans="1:10" ht="13.5" thickBot="1" x14ac:dyDescent="0.25"/>
    <row r="209" spans="1:10" x14ac:dyDescent="0.2">
      <c r="A209" s="348"/>
      <c r="B209" s="349" t="s">
        <v>60</v>
      </c>
      <c r="C209" s="350" t="s">
        <v>96</v>
      </c>
      <c r="D209" s="350" t="s">
        <v>97</v>
      </c>
      <c r="E209" s="351" t="s">
        <v>162</v>
      </c>
      <c r="F209" s="351" t="s">
        <v>163</v>
      </c>
      <c r="G209" s="351" t="s">
        <v>164</v>
      </c>
      <c r="H209" s="351" t="s">
        <v>221</v>
      </c>
      <c r="I209" s="351" t="s">
        <v>220</v>
      </c>
      <c r="J209" s="352" t="s">
        <v>161</v>
      </c>
    </row>
    <row r="210" spans="1:10" ht="23.25" x14ac:dyDescent="0.2">
      <c r="A210" s="380" t="str">
        <f>'1-zapasy'!A72</f>
        <v>B5-6</v>
      </c>
      <c r="B210" s="356"/>
      <c r="C210" s="357" t="e">
        <f>LEFT('1-zapasy'!B72,SEARCH("(",'1-zapasy'!B72)-1)</f>
        <v>#VALUE!</v>
      </c>
      <c r="D210" s="357" t="e">
        <f>LEFT('1-zapasy'!C72,SEARCH("(",'1-zapasy'!C72)-1)</f>
        <v>#VALUE!</v>
      </c>
      <c r="E210" s="359"/>
      <c r="F210" s="359"/>
      <c r="G210" s="359"/>
      <c r="H210" s="359"/>
      <c r="I210" s="359"/>
      <c r="J210" s="360"/>
    </row>
    <row r="211" spans="1:10" ht="24" thickBot="1" x14ac:dyDescent="0.25">
      <c r="A211" s="425" t="s">
        <v>165</v>
      </c>
      <c r="B211" s="426"/>
      <c r="C211" s="361" t="e">
        <f>C199</f>
        <v>#VALUE!</v>
      </c>
      <c r="D211" s="362" t="s">
        <v>166</v>
      </c>
      <c r="E211" s="427"/>
      <c r="F211" s="427"/>
      <c r="G211" s="427"/>
      <c r="H211" s="427"/>
      <c r="I211" s="427"/>
      <c r="J211" s="428"/>
    </row>
    <row r="212" spans="1:10" ht="13.5" thickBot="1" x14ac:dyDescent="0.25">
      <c r="A212" s="367"/>
    </row>
    <row r="213" spans="1:10" x14ac:dyDescent="0.2">
      <c r="A213" s="348"/>
      <c r="B213" s="349" t="s">
        <v>60</v>
      </c>
      <c r="C213" s="350" t="s">
        <v>96</v>
      </c>
      <c r="D213" s="350" t="s">
        <v>97</v>
      </c>
      <c r="E213" s="351" t="s">
        <v>162</v>
      </c>
      <c r="F213" s="351" t="s">
        <v>163</v>
      </c>
      <c r="G213" s="351" t="s">
        <v>164</v>
      </c>
      <c r="H213" s="351" t="s">
        <v>221</v>
      </c>
      <c r="I213" s="351" t="s">
        <v>220</v>
      </c>
      <c r="J213" s="352" t="s">
        <v>161</v>
      </c>
    </row>
    <row r="214" spans="1:10" ht="23.25" x14ac:dyDescent="0.2">
      <c r="A214" s="380" t="str">
        <f>'1-zapasy'!A75</f>
        <v>B6-1</v>
      </c>
      <c r="B214" s="356"/>
      <c r="C214" s="357" t="e">
        <f>LEFT('1-zapasy'!B75,SEARCH("(",'1-zapasy'!B75)-1)</f>
        <v>#VALUE!</v>
      </c>
      <c r="D214" s="357" t="e">
        <f>LEFT('1-zapasy'!C75,SEARCH("(",'1-zapasy'!C75)-1)</f>
        <v>#VALUE!</v>
      </c>
      <c r="E214" s="358"/>
      <c r="F214" s="359"/>
      <c r="G214" s="359"/>
      <c r="H214" s="359"/>
      <c r="I214" s="359"/>
      <c r="J214" s="360"/>
    </row>
    <row r="215" spans="1:10" ht="24" thickBot="1" x14ac:dyDescent="0.25">
      <c r="A215" s="425" t="s">
        <v>165</v>
      </c>
      <c r="B215" s="426"/>
      <c r="C215" s="361" t="e">
        <f>C218</f>
        <v>#VALUE!</v>
      </c>
      <c r="D215" s="362" t="s">
        <v>166</v>
      </c>
      <c r="E215" s="427"/>
      <c r="F215" s="427"/>
      <c r="G215" s="427"/>
      <c r="H215" s="427"/>
      <c r="I215" s="427"/>
      <c r="J215" s="428"/>
    </row>
    <row r="216" spans="1:10" ht="13.5" thickBot="1" x14ac:dyDescent="0.25"/>
    <row r="217" spans="1:10" x14ac:dyDescent="0.2">
      <c r="A217" s="348"/>
      <c r="B217" s="349" t="s">
        <v>60</v>
      </c>
      <c r="C217" s="350" t="s">
        <v>96</v>
      </c>
      <c r="D217" s="350" t="s">
        <v>97</v>
      </c>
      <c r="E217" s="351" t="s">
        <v>162</v>
      </c>
      <c r="F217" s="351" t="s">
        <v>163</v>
      </c>
      <c r="G217" s="351" t="s">
        <v>164</v>
      </c>
      <c r="H217" s="351" t="s">
        <v>221</v>
      </c>
      <c r="I217" s="351" t="s">
        <v>220</v>
      </c>
      <c r="J217" s="352" t="s">
        <v>161</v>
      </c>
    </row>
    <row r="218" spans="1:10" ht="23.25" x14ac:dyDescent="0.2">
      <c r="A218" s="380" t="str">
        <f>'1-zapasy'!A76</f>
        <v>B6-2</v>
      </c>
      <c r="B218" s="356"/>
      <c r="C218" s="357" t="e">
        <f>LEFT('1-zapasy'!B76,SEARCH("(",'1-zapasy'!B76)-1)</f>
        <v>#VALUE!</v>
      </c>
      <c r="D218" s="357" t="e">
        <f>LEFT('1-zapasy'!C76,SEARCH("(",'1-zapasy'!C76)-1)</f>
        <v>#VALUE!</v>
      </c>
      <c r="E218" s="359"/>
      <c r="F218" s="359"/>
      <c r="G218" s="359"/>
      <c r="H218" s="359"/>
      <c r="I218" s="359"/>
      <c r="J218" s="360"/>
    </row>
    <row r="219" spans="1:10" ht="24" thickBot="1" x14ac:dyDescent="0.25">
      <c r="A219" s="425" t="s">
        <v>165</v>
      </c>
      <c r="B219" s="426"/>
      <c r="C219" s="361" t="e">
        <f>C214</f>
        <v>#VALUE!</v>
      </c>
      <c r="D219" s="362" t="s">
        <v>166</v>
      </c>
      <c r="E219" s="427"/>
      <c r="F219" s="427"/>
      <c r="G219" s="427"/>
      <c r="H219" s="427"/>
      <c r="I219" s="427"/>
      <c r="J219" s="428"/>
    </row>
    <row r="220" spans="1:10" ht="13.5" thickBot="1" x14ac:dyDescent="0.25">
      <c r="A220" s="367"/>
    </row>
    <row r="221" spans="1:10" x14ac:dyDescent="0.2">
      <c r="A221" s="348"/>
      <c r="B221" s="349" t="s">
        <v>60</v>
      </c>
      <c r="C221" s="350" t="s">
        <v>96</v>
      </c>
      <c r="D221" s="350" t="s">
        <v>97</v>
      </c>
      <c r="E221" s="351" t="s">
        <v>162</v>
      </c>
      <c r="F221" s="351" t="s">
        <v>163</v>
      </c>
      <c r="G221" s="351" t="s">
        <v>164</v>
      </c>
      <c r="H221" s="351" t="s">
        <v>221</v>
      </c>
      <c r="I221" s="351" t="s">
        <v>220</v>
      </c>
      <c r="J221" s="352" t="s">
        <v>161</v>
      </c>
    </row>
    <row r="222" spans="1:10" ht="23.25" x14ac:dyDescent="0.2">
      <c r="A222" s="380" t="str">
        <f>'1-zapasy'!A77</f>
        <v>B6-3</v>
      </c>
      <c r="B222" s="356"/>
      <c r="C222" s="357" t="e">
        <f>LEFT('1-zapasy'!B77,SEARCH("(",'1-zapasy'!B77)-1)</f>
        <v>#VALUE!</v>
      </c>
      <c r="D222" s="357" t="e">
        <f>LEFT('1-zapasy'!C77,SEARCH("(",'1-zapasy'!C77)-1)</f>
        <v>#VALUE!</v>
      </c>
      <c r="E222" s="359"/>
      <c r="F222" s="359"/>
      <c r="G222" s="359"/>
      <c r="H222" s="359"/>
      <c r="I222" s="359"/>
      <c r="J222" s="360"/>
    </row>
    <row r="223" spans="1:10" ht="24" thickBot="1" x14ac:dyDescent="0.25">
      <c r="A223" s="425" t="s">
        <v>165</v>
      </c>
      <c r="B223" s="426"/>
      <c r="C223" s="361" t="e">
        <f>D218</f>
        <v>#VALUE!</v>
      </c>
      <c r="D223" s="362" t="s">
        <v>166</v>
      </c>
      <c r="E223" s="427"/>
      <c r="F223" s="427"/>
      <c r="G223" s="427"/>
      <c r="H223" s="427"/>
      <c r="I223" s="427"/>
      <c r="J223" s="428"/>
    </row>
    <row r="224" spans="1:10" ht="13.5" thickBot="1" x14ac:dyDescent="0.25">
      <c r="A224" s="367"/>
    </row>
    <row r="225" spans="1:10" x14ac:dyDescent="0.2">
      <c r="A225" s="348"/>
      <c r="B225" s="349" t="s">
        <v>60</v>
      </c>
      <c r="C225" s="350" t="s">
        <v>96</v>
      </c>
      <c r="D225" s="350" t="s">
        <v>97</v>
      </c>
      <c r="E225" s="351" t="s">
        <v>162</v>
      </c>
      <c r="F225" s="351" t="s">
        <v>163</v>
      </c>
      <c r="G225" s="351" t="s">
        <v>164</v>
      </c>
      <c r="H225" s="351" t="s">
        <v>221</v>
      </c>
      <c r="I225" s="351" t="s">
        <v>220</v>
      </c>
      <c r="J225" s="352" t="s">
        <v>161</v>
      </c>
    </row>
    <row r="226" spans="1:10" ht="23.25" x14ac:dyDescent="0.2">
      <c r="A226" s="380" t="str">
        <f>'1-zapasy'!A78</f>
        <v>B6-4</v>
      </c>
      <c r="B226" s="356"/>
      <c r="C226" s="357" t="e">
        <f>LEFT('1-zapasy'!B78,SEARCH("(",'1-zapasy'!B78)-1)</f>
        <v>#VALUE!</v>
      </c>
      <c r="D226" s="357" t="e">
        <f>LEFT('1-zapasy'!C78,SEARCH("(",'1-zapasy'!C78)-1)</f>
        <v>#VALUE!</v>
      </c>
      <c r="E226" s="359"/>
      <c r="F226" s="359"/>
      <c r="G226" s="359"/>
      <c r="H226" s="359"/>
      <c r="I226" s="359"/>
      <c r="J226" s="360"/>
    </row>
    <row r="227" spans="1:10" ht="24" thickBot="1" x14ac:dyDescent="0.25">
      <c r="A227" s="425" t="s">
        <v>165</v>
      </c>
      <c r="B227" s="426"/>
      <c r="C227" s="361" t="e">
        <f>C222</f>
        <v>#VALUE!</v>
      </c>
      <c r="D227" s="362" t="s">
        <v>166</v>
      </c>
      <c r="E227" s="427"/>
      <c r="F227" s="427"/>
      <c r="G227" s="427"/>
      <c r="H227" s="427"/>
      <c r="I227" s="427"/>
      <c r="J227" s="428"/>
    </row>
    <row r="228" spans="1:10" ht="13.5" thickBot="1" x14ac:dyDescent="0.25">
      <c r="A228" s="367"/>
    </row>
    <row r="229" spans="1:10" x14ac:dyDescent="0.2">
      <c r="A229" s="348"/>
      <c r="B229" s="349" t="s">
        <v>60</v>
      </c>
      <c r="C229" s="350" t="s">
        <v>96</v>
      </c>
      <c r="D229" s="350" t="s">
        <v>97</v>
      </c>
      <c r="E229" s="351" t="s">
        <v>162</v>
      </c>
      <c r="F229" s="351" t="s">
        <v>163</v>
      </c>
      <c r="G229" s="351" t="s">
        <v>164</v>
      </c>
      <c r="H229" s="351" t="s">
        <v>221</v>
      </c>
      <c r="I229" s="351" t="s">
        <v>220</v>
      </c>
      <c r="J229" s="352" t="s">
        <v>161</v>
      </c>
    </row>
    <row r="230" spans="1:10" ht="23.25" x14ac:dyDescent="0.2">
      <c r="A230" s="380" t="str">
        <f>'1-zapasy'!A79</f>
        <v>B6-5</v>
      </c>
      <c r="B230" s="356"/>
      <c r="C230" s="357" t="e">
        <f>LEFT('1-zapasy'!B79,SEARCH("(",'1-zapasy'!B79)-1)</f>
        <v>#VALUE!</v>
      </c>
      <c r="D230" s="357" t="e">
        <f>LEFT('1-zapasy'!C79,SEARCH("(",'1-zapasy'!C79)-1)</f>
        <v>#VALUE!</v>
      </c>
      <c r="E230" s="359"/>
      <c r="F230" s="359"/>
      <c r="G230" s="359"/>
      <c r="H230" s="359"/>
      <c r="I230" s="359"/>
      <c r="J230" s="360"/>
    </row>
    <row r="231" spans="1:10" ht="24" thickBot="1" x14ac:dyDescent="0.25">
      <c r="A231" s="425" t="s">
        <v>165</v>
      </c>
      <c r="B231" s="426"/>
      <c r="C231" s="361" t="e">
        <f>C215</f>
        <v>#VALUE!</v>
      </c>
      <c r="D231" s="362" t="s">
        <v>166</v>
      </c>
      <c r="E231" s="427"/>
      <c r="F231" s="427"/>
      <c r="G231" s="427"/>
      <c r="H231" s="427"/>
      <c r="I231" s="427"/>
      <c r="J231" s="428"/>
    </row>
    <row r="232" spans="1:10" ht="13.5" thickBot="1" x14ac:dyDescent="0.25"/>
    <row r="233" spans="1:10" x14ac:dyDescent="0.2">
      <c r="A233" s="348"/>
      <c r="B233" s="349" t="s">
        <v>60</v>
      </c>
      <c r="C233" s="350" t="s">
        <v>96</v>
      </c>
      <c r="D233" s="350" t="s">
        <v>97</v>
      </c>
      <c r="E233" s="351" t="s">
        <v>162</v>
      </c>
      <c r="F233" s="351" t="s">
        <v>163</v>
      </c>
      <c r="G233" s="351" t="s">
        <v>164</v>
      </c>
      <c r="H233" s="351" t="s">
        <v>221</v>
      </c>
      <c r="I233" s="351" t="s">
        <v>220</v>
      </c>
      <c r="J233" s="352" t="s">
        <v>161</v>
      </c>
    </row>
    <row r="234" spans="1:10" ht="23.25" x14ac:dyDescent="0.2">
      <c r="A234" s="380" t="str">
        <f>'1-zapasy'!A80</f>
        <v>B6-6</v>
      </c>
      <c r="B234" s="356"/>
      <c r="C234" s="357" t="e">
        <f>LEFT('1-zapasy'!B80,SEARCH("(",'1-zapasy'!B80)-1)</f>
        <v>#VALUE!</v>
      </c>
      <c r="D234" s="357" t="e">
        <f>LEFT('1-zapasy'!C80,SEARCH("(",'1-zapasy'!C80)-1)</f>
        <v>#VALUE!</v>
      </c>
      <c r="E234" s="359"/>
      <c r="F234" s="359"/>
      <c r="G234" s="359"/>
      <c r="H234" s="359"/>
      <c r="I234" s="359"/>
      <c r="J234" s="360"/>
    </row>
    <row r="235" spans="1:10" ht="24" thickBot="1" x14ac:dyDescent="0.25">
      <c r="A235" s="425" t="s">
        <v>165</v>
      </c>
      <c r="B235" s="426"/>
      <c r="C235" s="361" t="e">
        <f>C223</f>
        <v>#VALUE!</v>
      </c>
      <c r="D235" s="362" t="s">
        <v>166</v>
      </c>
      <c r="E235" s="427"/>
      <c r="F235" s="427"/>
      <c r="G235" s="427"/>
      <c r="H235" s="427"/>
      <c r="I235" s="427"/>
      <c r="J235" s="428"/>
    </row>
    <row r="236" spans="1:10" x14ac:dyDescent="0.2">
      <c r="A236" s="348"/>
      <c r="B236" s="349" t="s">
        <v>60</v>
      </c>
      <c r="C236" s="350" t="s">
        <v>96</v>
      </c>
      <c r="D236" s="350" t="s">
        <v>97</v>
      </c>
      <c r="E236" s="351" t="s">
        <v>162</v>
      </c>
      <c r="F236" s="351" t="s">
        <v>163</v>
      </c>
      <c r="G236" s="351" t="s">
        <v>164</v>
      </c>
      <c r="H236" s="351" t="s">
        <v>221</v>
      </c>
      <c r="I236" s="351" t="s">
        <v>220</v>
      </c>
      <c r="J236" s="352" t="s">
        <v>161</v>
      </c>
    </row>
    <row r="237" spans="1:10" ht="23.25" x14ac:dyDescent="0.2">
      <c r="A237" s="380" t="str">
        <f>'1-zapasy'!A83</f>
        <v>B7-1</v>
      </c>
      <c r="B237" s="356"/>
      <c r="C237" s="357" t="e">
        <f>LEFT('1-zapasy'!B83,SEARCH("(",'1-zapasy'!B83)-1)</f>
        <v>#VALUE!</v>
      </c>
      <c r="D237" s="357" t="e">
        <f>LEFT('1-zapasy'!C83,SEARCH("(",'1-zapasy'!C83)-1)</f>
        <v>#VALUE!</v>
      </c>
      <c r="E237" s="358"/>
      <c r="F237" s="359"/>
      <c r="G237" s="359"/>
      <c r="H237" s="359"/>
      <c r="I237" s="359"/>
      <c r="J237" s="360"/>
    </row>
    <row r="238" spans="1:10" ht="24" thickBot="1" x14ac:dyDescent="0.25">
      <c r="A238" s="425" t="s">
        <v>165</v>
      </c>
      <c r="B238" s="426"/>
      <c r="C238" s="361" t="e">
        <f>C241</f>
        <v>#VALUE!</v>
      </c>
      <c r="D238" s="362" t="s">
        <v>166</v>
      </c>
      <c r="E238" s="427"/>
      <c r="F238" s="427"/>
      <c r="G238" s="427"/>
      <c r="H238" s="427"/>
      <c r="I238" s="427"/>
      <c r="J238" s="428"/>
    </row>
    <row r="239" spans="1:10" ht="13.5" thickBot="1" x14ac:dyDescent="0.25"/>
    <row r="240" spans="1:10" x14ac:dyDescent="0.2">
      <c r="A240" s="348"/>
      <c r="B240" s="349" t="s">
        <v>60</v>
      </c>
      <c r="C240" s="350" t="s">
        <v>96</v>
      </c>
      <c r="D240" s="350" t="s">
        <v>97</v>
      </c>
      <c r="E240" s="351" t="s">
        <v>162</v>
      </c>
      <c r="F240" s="351" t="s">
        <v>163</v>
      </c>
      <c r="G240" s="351" t="s">
        <v>164</v>
      </c>
      <c r="H240" s="351" t="s">
        <v>221</v>
      </c>
      <c r="I240" s="351" t="s">
        <v>220</v>
      </c>
      <c r="J240" s="352" t="s">
        <v>161</v>
      </c>
    </row>
    <row r="241" spans="1:10" ht="23.25" x14ac:dyDescent="0.2">
      <c r="A241" s="380" t="str">
        <f>'1-zapasy'!A84</f>
        <v>B7-2</v>
      </c>
      <c r="B241" s="356"/>
      <c r="C241" s="357" t="e">
        <f>LEFT('1-zapasy'!B84,SEARCH("(",'1-zapasy'!B84)-1)</f>
        <v>#VALUE!</v>
      </c>
      <c r="D241" s="357" t="e">
        <f>LEFT('1-zapasy'!C84,SEARCH("(",'1-zapasy'!C84)-1)</f>
        <v>#VALUE!</v>
      </c>
      <c r="E241" s="359"/>
      <c r="F241" s="359"/>
      <c r="G241" s="359"/>
      <c r="H241" s="359"/>
      <c r="I241" s="359"/>
      <c r="J241" s="360"/>
    </row>
    <row r="242" spans="1:10" ht="24" thickBot="1" x14ac:dyDescent="0.25">
      <c r="A242" s="425" t="s">
        <v>165</v>
      </c>
      <c r="B242" s="426"/>
      <c r="C242" s="361" t="e">
        <f>C237</f>
        <v>#VALUE!</v>
      </c>
      <c r="D242" s="362" t="s">
        <v>166</v>
      </c>
      <c r="E242" s="427"/>
      <c r="F242" s="427"/>
      <c r="G242" s="427"/>
      <c r="H242" s="427"/>
      <c r="I242" s="427"/>
      <c r="J242" s="428"/>
    </row>
    <row r="243" spans="1:10" ht="13.5" thickBot="1" x14ac:dyDescent="0.25">
      <c r="A243" s="367"/>
    </row>
    <row r="244" spans="1:10" x14ac:dyDescent="0.2">
      <c r="A244" s="348"/>
      <c r="B244" s="349" t="s">
        <v>60</v>
      </c>
      <c r="C244" s="350" t="s">
        <v>96</v>
      </c>
      <c r="D244" s="350" t="s">
        <v>97</v>
      </c>
      <c r="E244" s="351" t="s">
        <v>162</v>
      </c>
      <c r="F244" s="351" t="s">
        <v>163</v>
      </c>
      <c r="G244" s="351" t="s">
        <v>164</v>
      </c>
      <c r="H244" s="351" t="s">
        <v>221</v>
      </c>
      <c r="I244" s="351" t="s">
        <v>220</v>
      </c>
      <c r="J244" s="352" t="s">
        <v>161</v>
      </c>
    </row>
    <row r="245" spans="1:10" ht="23.25" x14ac:dyDescent="0.2">
      <c r="A245" s="380" t="str">
        <f>'1-zapasy'!A85</f>
        <v>B7-3</v>
      </c>
      <c r="B245" s="356"/>
      <c r="C245" s="357" t="e">
        <f>LEFT('1-zapasy'!B85,SEARCH("(",'1-zapasy'!B85)-1)</f>
        <v>#VALUE!</v>
      </c>
      <c r="D245" s="357" t="e">
        <f>LEFT('1-zapasy'!C85,SEARCH("(",'1-zapasy'!C85)-1)</f>
        <v>#VALUE!</v>
      </c>
      <c r="E245" s="359"/>
      <c r="F245" s="359"/>
      <c r="G245" s="359"/>
      <c r="H245" s="359"/>
      <c r="I245" s="359"/>
      <c r="J245" s="360"/>
    </row>
    <row r="246" spans="1:10" ht="24" thickBot="1" x14ac:dyDescent="0.25">
      <c r="A246" s="425" t="s">
        <v>165</v>
      </c>
      <c r="B246" s="426"/>
      <c r="C246" s="361" t="e">
        <f>C249</f>
        <v>#VALUE!</v>
      </c>
      <c r="D246" s="362" t="s">
        <v>166</v>
      </c>
      <c r="E246" s="427"/>
      <c r="F246" s="427"/>
      <c r="G246" s="427"/>
      <c r="H246" s="427"/>
      <c r="I246" s="427"/>
      <c r="J246" s="428"/>
    </row>
    <row r="247" spans="1:10" ht="13.5" thickBot="1" x14ac:dyDescent="0.25"/>
    <row r="248" spans="1:10" x14ac:dyDescent="0.2">
      <c r="A248" s="348"/>
      <c r="B248" s="349" t="s">
        <v>60</v>
      </c>
      <c r="C248" s="350" t="s">
        <v>96</v>
      </c>
      <c r="D248" s="350" t="s">
        <v>97</v>
      </c>
      <c r="E248" s="351" t="s">
        <v>162</v>
      </c>
      <c r="F248" s="351" t="s">
        <v>163</v>
      </c>
      <c r="G248" s="351" t="s">
        <v>164</v>
      </c>
      <c r="H248" s="351" t="s">
        <v>221</v>
      </c>
      <c r="I248" s="351" t="s">
        <v>220</v>
      </c>
      <c r="J248" s="352" t="s">
        <v>161</v>
      </c>
    </row>
    <row r="249" spans="1:10" ht="23.25" x14ac:dyDescent="0.2">
      <c r="A249" s="380" t="str">
        <f>'1-zapasy'!A86</f>
        <v>B7-4</v>
      </c>
      <c r="B249" s="356"/>
      <c r="C249" s="357" t="e">
        <f>LEFT('1-zapasy'!B86,SEARCH("(",'1-zapasy'!B86)-1)</f>
        <v>#VALUE!</v>
      </c>
      <c r="D249" s="357" t="e">
        <f>LEFT('1-zapasy'!C86,SEARCH("(",'1-zapasy'!C86)-1)</f>
        <v>#VALUE!</v>
      </c>
      <c r="E249" s="359"/>
      <c r="F249" s="359"/>
      <c r="G249" s="359"/>
      <c r="H249" s="359"/>
      <c r="I249" s="359"/>
      <c r="J249" s="360"/>
    </row>
    <row r="250" spans="1:10" ht="24" thickBot="1" x14ac:dyDescent="0.25">
      <c r="A250" s="425" t="s">
        <v>165</v>
      </c>
      <c r="B250" s="426"/>
      <c r="C250" s="361" t="e">
        <f>C245</f>
        <v>#VALUE!</v>
      </c>
      <c r="D250" s="362" t="s">
        <v>166</v>
      </c>
      <c r="E250" s="427"/>
      <c r="F250" s="427"/>
      <c r="G250" s="427"/>
      <c r="H250" s="427"/>
      <c r="I250" s="427"/>
      <c r="J250" s="428"/>
    </row>
    <row r="251" spans="1:10" ht="13.5" thickBot="1" x14ac:dyDescent="0.25">
      <c r="A251" s="367"/>
    </row>
    <row r="252" spans="1:10" x14ac:dyDescent="0.2">
      <c r="A252" s="348"/>
      <c r="B252" s="349" t="s">
        <v>60</v>
      </c>
      <c r="C252" s="350" t="s">
        <v>96</v>
      </c>
      <c r="D252" s="350" t="s">
        <v>97</v>
      </c>
      <c r="E252" s="351" t="s">
        <v>162</v>
      </c>
      <c r="F252" s="351" t="s">
        <v>163</v>
      </c>
      <c r="G252" s="351" t="s">
        <v>164</v>
      </c>
      <c r="H252" s="351" t="s">
        <v>221</v>
      </c>
      <c r="I252" s="351" t="s">
        <v>220</v>
      </c>
      <c r="J252" s="352" t="s">
        <v>161</v>
      </c>
    </row>
    <row r="253" spans="1:10" ht="23.25" x14ac:dyDescent="0.2">
      <c r="A253" s="380" t="str">
        <f>'1-zapasy'!A87</f>
        <v>B7-5</v>
      </c>
      <c r="B253" s="356"/>
      <c r="C253" s="357" t="e">
        <f>LEFT('1-zapasy'!B87,SEARCH("(",'1-zapasy'!B87)-1)</f>
        <v>#VALUE!</v>
      </c>
      <c r="D253" s="357" t="e">
        <f>LEFT('1-zapasy'!C87,SEARCH("(",'1-zapasy'!C87)-1)</f>
        <v>#VALUE!</v>
      </c>
      <c r="E253" s="359"/>
      <c r="F253" s="359"/>
      <c r="G253" s="359"/>
      <c r="H253" s="359"/>
      <c r="I253" s="359"/>
      <c r="J253" s="360"/>
    </row>
    <row r="254" spans="1:10" ht="24" thickBot="1" x14ac:dyDescent="0.25">
      <c r="A254" s="425" t="s">
        <v>165</v>
      </c>
      <c r="B254" s="426"/>
      <c r="C254" s="361" t="e">
        <f>C238</f>
        <v>#VALUE!</v>
      </c>
      <c r="D254" s="362" t="s">
        <v>166</v>
      </c>
      <c r="E254" s="427"/>
      <c r="F254" s="427"/>
      <c r="G254" s="427"/>
      <c r="H254" s="427"/>
      <c r="I254" s="427"/>
      <c r="J254" s="428"/>
    </row>
    <row r="255" spans="1:10" ht="13.5" thickBot="1" x14ac:dyDescent="0.25"/>
    <row r="256" spans="1:10" x14ac:dyDescent="0.2">
      <c r="A256" s="348"/>
      <c r="B256" s="349" t="s">
        <v>60</v>
      </c>
      <c r="C256" s="350" t="s">
        <v>96</v>
      </c>
      <c r="D256" s="350" t="s">
        <v>97</v>
      </c>
      <c r="E256" s="351" t="s">
        <v>162</v>
      </c>
      <c r="F256" s="351" t="s">
        <v>163</v>
      </c>
      <c r="G256" s="351" t="s">
        <v>164</v>
      </c>
      <c r="H256" s="351" t="s">
        <v>221</v>
      </c>
      <c r="I256" s="351" t="s">
        <v>220</v>
      </c>
      <c r="J256" s="352" t="s">
        <v>161</v>
      </c>
    </row>
    <row r="257" spans="1:10" ht="23.25" x14ac:dyDescent="0.2">
      <c r="A257" s="380" t="str">
        <f>'1-zapasy'!A88</f>
        <v>B7-6</v>
      </c>
      <c r="B257" s="356"/>
      <c r="C257" s="357" t="e">
        <f>LEFT('1-zapasy'!B88,SEARCH("(",'1-zapasy'!B88)-1)</f>
        <v>#VALUE!</v>
      </c>
      <c r="D257" s="357" t="e">
        <f>LEFT('1-zapasy'!C88,SEARCH("(",'1-zapasy'!C88)-1)</f>
        <v>#VALUE!</v>
      </c>
      <c r="E257" s="359"/>
      <c r="F257" s="359"/>
      <c r="G257" s="359"/>
      <c r="H257" s="359"/>
      <c r="I257" s="359"/>
      <c r="J257" s="360"/>
    </row>
    <row r="258" spans="1:10" ht="24" thickBot="1" x14ac:dyDescent="0.25">
      <c r="A258" s="425" t="s">
        <v>165</v>
      </c>
      <c r="B258" s="426"/>
      <c r="C258" s="361" t="e">
        <f>C246</f>
        <v>#VALUE!</v>
      </c>
      <c r="D258" s="362" t="s">
        <v>166</v>
      </c>
      <c r="E258" s="427"/>
      <c r="F258" s="427"/>
      <c r="G258" s="427"/>
      <c r="H258" s="427"/>
      <c r="I258" s="427"/>
      <c r="J258" s="428"/>
    </row>
    <row r="259" spans="1:10" ht="13.5" thickBot="1" x14ac:dyDescent="0.25">
      <c r="A259" s="367"/>
    </row>
    <row r="260" spans="1:10" x14ac:dyDescent="0.2">
      <c r="A260" s="348"/>
      <c r="B260" s="349" t="s">
        <v>60</v>
      </c>
      <c r="C260" s="350" t="s">
        <v>96</v>
      </c>
      <c r="D260" s="350" t="s">
        <v>97</v>
      </c>
      <c r="E260" s="351" t="s">
        <v>162</v>
      </c>
      <c r="F260" s="351" t="s">
        <v>163</v>
      </c>
      <c r="G260" s="351" t="s">
        <v>164</v>
      </c>
      <c r="H260" s="351" t="s">
        <v>221</v>
      </c>
      <c r="I260" s="351" t="s">
        <v>220</v>
      </c>
      <c r="J260" s="352" t="s">
        <v>161</v>
      </c>
    </row>
    <row r="261" spans="1:10" ht="23.25" x14ac:dyDescent="0.2">
      <c r="A261" s="380" t="str">
        <f>'1-zapasy'!A91</f>
        <v>B8-1</v>
      </c>
      <c r="B261" s="356"/>
      <c r="C261" s="357" t="e">
        <f>LEFT('1-zapasy'!B91,SEARCH("(",'1-zapasy'!B91)-1)</f>
        <v>#VALUE!</v>
      </c>
      <c r="D261" s="357" t="e">
        <f>LEFT('1-zapasy'!C91,SEARCH("(",'1-zapasy'!C91)-1)</f>
        <v>#VALUE!</v>
      </c>
      <c r="E261" s="358"/>
      <c r="F261" s="359"/>
      <c r="G261" s="359"/>
      <c r="H261" s="359"/>
      <c r="I261" s="359"/>
      <c r="J261" s="360"/>
    </row>
    <row r="262" spans="1:10" ht="24" thickBot="1" x14ac:dyDescent="0.25">
      <c r="A262" s="425" t="s">
        <v>165</v>
      </c>
      <c r="B262" s="426"/>
      <c r="C262" s="361" t="e">
        <f>C265</f>
        <v>#VALUE!</v>
      </c>
      <c r="D262" s="362" t="s">
        <v>166</v>
      </c>
      <c r="E262" s="427"/>
      <c r="F262" s="427"/>
      <c r="G262" s="427"/>
      <c r="H262" s="427"/>
      <c r="I262" s="427"/>
      <c r="J262" s="428"/>
    </row>
    <row r="263" spans="1:10" ht="13.5" thickBot="1" x14ac:dyDescent="0.25"/>
    <row r="264" spans="1:10" x14ac:dyDescent="0.2">
      <c r="A264" s="348"/>
      <c r="B264" s="349" t="s">
        <v>60</v>
      </c>
      <c r="C264" s="350" t="s">
        <v>96</v>
      </c>
      <c r="D264" s="350" t="s">
        <v>97</v>
      </c>
      <c r="E264" s="351" t="s">
        <v>162</v>
      </c>
      <c r="F264" s="351" t="s">
        <v>163</v>
      </c>
      <c r="G264" s="351" t="s">
        <v>164</v>
      </c>
      <c r="H264" s="351" t="s">
        <v>221</v>
      </c>
      <c r="I264" s="351" t="s">
        <v>220</v>
      </c>
      <c r="J264" s="352" t="s">
        <v>161</v>
      </c>
    </row>
    <row r="265" spans="1:10" ht="23.25" x14ac:dyDescent="0.2">
      <c r="A265" s="380" t="str">
        <f>'1-zapasy'!A92</f>
        <v>B8-2</v>
      </c>
      <c r="B265" s="356"/>
      <c r="C265" s="357" t="e">
        <f>LEFT('1-zapasy'!B92,SEARCH("(",'1-zapasy'!B92)-1)</f>
        <v>#VALUE!</v>
      </c>
      <c r="D265" s="357" t="e">
        <f>LEFT('1-zapasy'!C92,SEARCH("(",'1-zapasy'!C92)-1)</f>
        <v>#VALUE!</v>
      </c>
      <c r="E265" s="359"/>
      <c r="F265" s="359"/>
      <c r="G265" s="359"/>
      <c r="H265" s="359"/>
      <c r="I265" s="359"/>
      <c r="J265" s="360"/>
    </row>
    <row r="266" spans="1:10" ht="24" thickBot="1" x14ac:dyDescent="0.25">
      <c r="A266" s="425" t="s">
        <v>165</v>
      </c>
      <c r="B266" s="426"/>
      <c r="C266" s="361" t="e">
        <f>C261</f>
        <v>#VALUE!</v>
      </c>
      <c r="D266" s="362" t="s">
        <v>166</v>
      </c>
      <c r="E266" s="427"/>
      <c r="F266" s="427"/>
      <c r="G266" s="427"/>
      <c r="H266" s="427"/>
      <c r="I266" s="427"/>
      <c r="J266" s="428"/>
    </row>
    <row r="267" spans="1:10" ht="13.5" thickBot="1" x14ac:dyDescent="0.25">
      <c r="A267" s="367"/>
    </row>
    <row r="268" spans="1:10" x14ac:dyDescent="0.2">
      <c r="A268" s="348"/>
      <c r="B268" s="349" t="s">
        <v>60</v>
      </c>
      <c r="C268" s="350" t="s">
        <v>96</v>
      </c>
      <c r="D268" s="350" t="s">
        <v>97</v>
      </c>
      <c r="E268" s="351" t="s">
        <v>162</v>
      </c>
      <c r="F268" s="351" t="s">
        <v>163</v>
      </c>
      <c r="G268" s="351" t="s">
        <v>164</v>
      </c>
      <c r="H268" s="351" t="s">
        <v>221</v>
      </c>
      <c r="I268" s="351" t="s">
        <v>220</v>
      </c>
      <c r="J268" s="352" t="s">
        <v>161</v>
      </c>
    </row>
    <row r="269" spans="1:10" ht="23.25" x14ac:dyDescent="0.2">
      <c r="A269" s="380" t="str">
        <f>'1-zapasy'!A93</f>
        <v>B8-3</v>
      </c>
      <c r="B269" s="356"/>
      <c r="C269" s="357" t="e">
        <f>LEFT('1-zapasy'!B93,SEARCH("(",'1-zapasy'!B93)-1)</f>
        <v>#VALUE!</v>
      </c>
      <c r="D269" s="357" t="e">
        <f>LEFT('1-zapasy'!C93,SEARCH("(",'1-zapasy'!C93)-1)</f>
        <v>#VALUE!</v>
      </c>
      <c r="E269" s="359"/>
      <c r="F269" s="359"/>
      <c r="G269" s="359"/>
      <c r="H269" s="359"/>
      <c r="I269" s="359"/>
      <c r="J269" s="360"/>
    </row>
    <row r="270" spans="1:10" ht="24" thickBot="1" x14ac:dyDescent="0.25">
      <c r="A270" s="425" t="s">
        <v>165</v>
      </c>
      <c r="B270" s="426"/>
      <c r="C270" s="361" t="e">
        <f>C273</f>
        <v>#VALUE!</v>
      </c>
      <c r="D270" s="362" t="s">
        <v>166</v>
      </c>
      <c r="E270" s="427"/>
      <c r="F270" s="427"/>
      <c r="G270" s="427"/>
      <c r="H270" s="427"/>
      <c r="I270" s="427"/>
      <c r="J270" s="428"/>
    </row>
    <row r="271" spans="1:10" ht="13.5" thickBot="1" x14ac:dyDescent="0.25">
      <c r="A271" s="367"/>
    </row>
    <row r="272" spans="1:10" x14ac:dyDescent="0.2">
      <c r="A272" s="348"/>
      <c r="B272" s="349" t="s">
        <v>60</v>
      </c>
      <c r="C272" s="350" t="s">
        <v>96</v>
      </c>
      <c r="D272" s="350" t="s">
        <v>97</v>
      </c>
      <c r="E272" s="351" t="s">
        <v>162</v>
      </c>
      <c r="F272" s="351" t="s">
        <v>163</v>
      </c>
      <c r="G272" s="351" t="s">
        <v>164</v>
      </c>
      <c r="H272" s="351" t="s">
        <v>221</v>
      </c>
      <c r="I272" s="351" t="s">
        <v>220</v>
      </c>
      <c r="J272" s="352" t="s">
        <v>161</v>
      </c>
    </row>
    <row r="273" spans="1:10" ht="23.25" x14ac:dyDescent="0.2">
      <c r="A273" s="380" t="str">
        <f>'1-zapasy'!A94</f>
        <v>B8-4</v>
      </c>
      <c r="B273" s="356"/>
      <c r="C273" s="357" t="e">
        <f>LEFT('1-zapasy'!B94,SEARCH("(",'1-zapasy'!B94)-1)</f>
        <v>#VALUE!</v>
      </c>
      <c r="D273" s="357" t="e">
        <f>LEFT('1-zapasy'!C94,SEARCH("(",'1-zapasy'!C94)-1)</f>
        <v>#VALUE!</v>
      </c>
      <c r="E273" s="359"/>
      <c r="F273" s="359"/>
      <c r="G273" s="359"/>
      <c r="H273" s="359"/>
      <c r="I273" s="359"/>
      <c r="J273" s="360"/>
    </row>
    <row r="274" spans="1:10" ht="24" thickBot="1" x14ac:dyDescent="0.25">
      <c r="A274" s="425" t="s">
        <v>165</v>
      </c>
      <c r="B274" s="426"/>
      <c r="C274" s="361" t="e">
        <f>C269</f>
        <v>#VALUE!</v>
      </c>
      <c r="D274" s="362" t="s">
        <v>166</v>
      </c>
      <c r="E274" s="427"/>
      <c r="F274" s="427"/>
      <c r="G274" s="427"/>
      <c r="H274" s="427"/>
      <c r="I274" s="427"/>
      <c r="J274" s="428"/>
    </row>
    <row r="275" spans="1:10" ht="13.5" thickBot="1" x14ac:dyDescent="0.25">
      <c r="A275" s="367"/>
    </row>
    <row r="276" spans="1:10" x14ac:dyDescent="0.2">
      <c r="A276" s="348"/>
      <c r="B276" s="349" t="s">
        <v>60</v>
      </c>
      <c r="C276" s="350" t="s">
        <v>96</v>
      </c>
      <c r="D276" s="350" t="s">
        <v>97</v>
      </c>
      <c r="E276" s="351" t="s">
        <v>162</v>
      </c>
      <c r="F276" s="351" t="s">
        <v>163</v>
      </c>
      <c r="G276" s="351" t="s">
        <v>164</v>
      </c>
      <c r="H276" s="351" t="s">
        <v>221</v>
      </c>
      <c r="I276" s="351" t="s">
        <v>220</v>
      </c>
      <c r="J276" s="352" t="s">
        <v>161</v>
      </c>
    </row>
    <row r="277" spans="1:10" ht="23.25" x14ac:dyDescent="0.2">
      <c r="A277" s="380" t="str">
        <f>'1-zapasy'!A95</f>
        <v>B8-5</v>
      </c>
      <c r="B277" s="356"/>
      <c r="C277" s="357" t="e">
        <f>LEFT('1-zapasy'!B95,SEARCH("(",'1-zapasy'!B95)-1)</f>
        <v>#VALUE!</v>
      </c>
      <c r="D277" s="357" t="e">
        <f>LEFT('1-zapasy'!C95,SEARCH("(",'1-zapasy'!C95)-1)</f>
        <v>#VALUE!</v>
      </c>
      <c r="E277" s="359"/>
      <c r="F277" s="359"/>
      <c r="G277" s="359"/>
      <c r="H277" s="359"/>
      <c r="I277" s="359"/>
      <c r="J277" s="360"/>
    </row>
    <row r="278" spans="1:10" ht="24" thickBot="1" x14ac:dyDescent="0.25">
      <c r="A278" s="425" t="s">
        <v>165</v>
      </c>
      <c r="B278" s="426"/>
      <c r="C278" s="361" t="e">
        <f>C262</f>
        <v>#VALUE!</v>
      </c>
      <c r="D278" s="362" t="s">
        <v>166</v>
      </c>
      <c r="E278" s="427"/>
      <c r="F278" s="427"/>
      <c r="G278" s="427"/>
      <c r="H278" s="427"/>
      <c r="I278" s="427"/>
      <c r="J278" s="428"/>
    </row>
    <row r="279" spans="1:10" ht="13.5" thickBot="1" x14ac:dyDescent="0.25"/>
    <row r="280" spans="1:10" x14ac:dyDescent="0.2">
      <c r="A280" s="348"/>
      <c r="B280" s="349" t="s">
        <v>60</v>
      </c>
      <c r="C280" s="350" t="s">
        <v>96</v>
      </c>
      <c r="D280" s="350" t="s">
        <v>97</v>
      </c>
      <c r="E280" s="351" t="s">
        <v>162</v>
      </c>
      <c r="F280" s="351" t="s">
        <v>163</v>
      </c>
      <c r="G280" s="351" t="s">
        <v>164</v>
      </c>
      <c r="H280" s="351" t="s">
        <v>221</v>
      </c>
      <c r="I280" s="351" t="s">
        <v>220</v>
      </c>
      <c r="J280" s="352" t="s">
        <v>161</v>
      </c>
    </row>
    <row r="281" spans="1:10" ht="23.25" x14ac:dyDescent="0.2">
      <c r="A281" s="380" t="str">
        <f>'1-zapasy'!A96</f>
        <v>B8-6</v>
      </c>
      <c r="B281" s="356"/>
      <c r="C281" s="357" t="e">
        <f>LEFT('1-zapasy'!B96,SEARCH("(",'1-zapasy'!B96)-1)</f>
        <v>#VALUE!</v>
      </c>
      <c r="D281" s="357" t="e">
        <f>LEFT('1-zapasy'!C96,SEARCH("(",'1-zapasy'!C96)-1)</f>
        <v>#VALUE!</v>
      </c>
      <c r="E281" s="359"/>
      <c r="F281" s="359"/>
      <c r="G281" s="359"/>
      <c r="H281" s="359"/>
      <c r="I281" s="359"/>
      <c r="J281" s="360"/>
    </row>
    <row r="282" spans="1:10" ht="24" thickBot="1" x14ac:dyDescent="0.25">
      <c r="A282" s="425" t="s">
        <v>165</v>
      </c>
      <c r="B282" s="426"/>
      <c r="C282" s="361" t="e">
        <f>C270</f>
        <v>#VALUE!</v>
      </c>
      <c r="D282" s="362" t="s">
        <v>166</v>
      </c>
      <c r="E282" s="427"/>
      <c r="F282" s="427"/>
      <c r="G282" s="427"/>
      <c r="H282" s="427"/>
      <c r="I282" s="427"/>
      <c r="J282" s="428"/>
    </row>
    <row r="283" spans="1:10" x14ac:dyDescent="0.2">
      <c r="A283" s="348"/>
      <c r="B283" s="349" t="s">
        <v>60</v>
      </c>
      <c r="C283" s="350" t="s">
        <v>96</v>
      </c>
      <c r="D283" s="350" t="s">
        <v>97</v>
      </c>
      <c r="E283" s="351" t="s">
        <v>162</v>
      </c>
      <c r="F283" s="351" t="s">
        <v>163</v>
      </c>
      <c r="G283" s="351" t="s">
        <v>164</v>
      </c>
      <c r="H283" s="351" t="s">
        <v>221</v>
      </c>
      <c r="I283" s="351" t="s">
        <v>220</v>
      </c>
      <c r="J283" s="352" t="s">
        <v>161</v>
      </c>
    </row>
    <row r="284" spans="1:10" ht="23.25" x14ac:dyDescent="0.2">
      <c r="A284" s="380" t="str">
        <f>'1-zapasy'!A99</f>
        <v>M-1</v>
      </c>
      <c r="B284" s="356"/>
      <c r="C284" s="357" t="e">
        <f>LEFT('1-zapasy'!B99,SEARCH("(",'1-zapasy'!B99)-1)</f>
        <v>#VALUE!</v>
      </c>
      <c r="D284" s="357" t="e">
        <f>LEFT('1-zapasy'!C99,SEARCH("(",'1-zapasy'!C99)-1)</f>
        <v>#VALUE!</v>
      </c>
      <c r="E284" s="358"/>
      <c r="F284" s="359"/>
      <c r="G284" s="359"/>
      <c r="H284" s="359"/>
      <c r="I284" s="359"/>
      <c r="J284" s="360"/>
    </row>
    <row r="285" spans="1:10" ht="24" thickBot="1" x14ac:dyDescent="0.25">
      <c r="A285" s="425" t="s">
        <v>165</v>
      </c>
      <c r="B285" s="426"/>
      <c r="C285" s="361" t="e">
        <f>C288</f>
        <v>#VALUE!</v>
      </c>
      <c r="D285" s="362" t="s">
        <v>166</v>
      </c>
      <c r="E285" s="427"/>
      <c r="F285" s="427"/>
      <c r="G285" s="427"/>
      <c r="H285" s="427"/>
      <c r="I285" s="427"/>
      <c r="J285" s="428"/>
    </row>
    <row r="286" spans="1:10" ht="13.5" thickBot="1" x14ac:dyDescent="0.25"/>
    <row r="287" spans="1:10" x14ac:dyDescent="0.2">
      <c r="A287" s="348"/>
      <c r="B287" s="349" t="s">
        <v>60</v>
      </c>
      <c r="C287" s="350" t="s">
        <v>96</v>
      </c>
      <c r="D287" s="350" t="s">
        <v>97</v>
      </c>
      <c r="E287" s="351" t="s">
        <v>162</v>
      </c>
      <c r="F287" s="351" t="s">
        <v>163</v>
      </c>
      <c r="G287" s="351" t="s">
        <v>164</v>
      </c>
      <c r="H287" s="351" t="s">
        <v>221</v>
      </c>
      <c r="I287" s="351" t="s">
        <v>220</v>
      </c>
      <c r="J287" s="352" t="s">
        <v>161</v>
      </c>
    </row>
    <row r="288" spans="1:10" ht="23.25" x14ac:dyDescent="0.2">
      <c r="A288" s="380" t="str">
        <f>'1-zapasy'!A100</f>
        <v>M-2</v>
      </c>
      <c r="B288" s="356"/>
      <c r="C288" s="357" t="e">
        <f>LEFT('1-zapasy'!B100,SEARCH("(",'1-zapasy'!B100)-1)</f>
        <v>#VALUE!</v>
      </c>
      <c r="D288" s="357" t="e">
        <f>LEFT('1-zapasy'!C100,SEARCH("(",'1-zapasy'!C100)-1)</f>
        <v>#VALUE!</v>
      </c>
      <c r="E288" s="359"/>
      <c r="F288" s="359"/>
      <c r="G288" s="359"/>
      <c r="H288" s="359"/>
      <c r="I288" s="359"/>
      <c r="J288" s="360"/>
    </row>
    <row r="289" spans="1:10" ht="24" thickBot="1" x14ac:dyDescent="0.25">
      <c r="A289" s="425" t="s">
        <v>165</v>
      </c>
      <c r="B289" s="426"/>
      <c r="C289" s="361" t="e">
        <f>C284</f>
        <v>#VALUE!</v>
      </c>
      <c r="D289" s="362" t="s">
        <v>166</v>
      </c>
      <c r="E289" s="427"/>
      <c r="F289" s="427"/>
      <c r="G289" s="427"/>
      <c r="H289" s="427"/>
      <c r="I289" s="427"/>
      <c r="J289" s="428"/>
    </row>
    <row r="290" spans="1:10" ht="13.5" thickBot="1" x14ac:dyDescent="0.25">
      <c r="A290" s="367"/>
    </row>
    <row r="291" spans="1:10" x14ac:dyDescent="0.2">
      <c r="A291" s="348"/>
      <c r="B291" s="349" t="s">
        <v>60</v>
      </c>
      <c r="C291" s="350" t="s">
        <v>96</v>
      </c>
      <c r="D291" s="350" t="s">
        <v>97</v>
      </c>
      <c r="E291" s="351" t="s">
        <v>162</v>
      </c>
      <c r="F291" s="351" t="s">
        <v>163</v>
      </c>
      <c r="G291" s="351" t="s">
        <v>164</v>
      </c>
      <c r="H291" s="351" t="s">
        <v>221</v>
      </c>
      <c r="I291" s="351" t="s">
        <v>220</v>
      </c>
      <c r="J291" s="352" t="s">
        <v>161</v>
      </c>
    </row>
    <row r="292" spans="1:10" ht="23.25" x14ac:dyDescent="0.2">
      <c r="A292" s="380" t="str">
        <f>'1-zapasy'!A101</f>
        <v>M-3</v>
      </c>
      <c r="B292" s="356"/>
      <c r="C292" s="357" t="e">
        <f>LEFT('1-zapasy'!B101,SEARCH("(",'1-zapasy'!B101)-1)</f>
        <v>#VALUE!</v>
      </c>
      <c r="D292" s="357" t="e">
        <f>LEFT('1-zapasy'!C101,SEARCH("(",'1-zapasy'!C101)-1)</f>
        <v>#VALUE!</v>
      </c>
      <c r="E292" s="359"/>
      <c r="F292" s="359"/>
      <c r="G292" s="359"/>
      <c r="H292" s="359"/>
      <c r="I292" s="359"/>
      <c r="J292" s="360"/>
    </row>
    <row r="293" spans="1:10" ht="24" thickBot="1" x14ac:dyDescent="0.25">
      <c r="A293" s="425" t="s">
        <v>165</v>
      </c>
      <c r="B293" s="426"/>
      <c r="C293" s="361" t="e">
        <f>C296</f>
        <v>#VALUE!</v>
      </c>
      <c r="D293" s="362" t="s">
        <v>166</v>
      </c>
      <c r="E293" s="427"/>
      <c r="F293" s="427"/>
      <c r="G293" s="427"/>
      <c r="H293" s="427"/>
      <c r="I293" s="427"/>
      <c r="J293" s="428"/>
    </row>
    <row r="294" spans="1:10" ht="13.5" thickBot="1" x14ac:dyDescent="0.25"/>
    <row r="295" spans="1:10" x14ac:dyDescent="0.2">
      <c r="A295" s="348"/>
      <c r="B295" s="349" t="s">
        <v>60</v>
      </c>
      <c r="C295" s="350" t="s">
        <v>96</v>
      </c>
      <c r="D295" s="350" t="s">
        <v>97</v>
      </c>
      <c r="E295" s="351" t="s">
        <v>162</v>
      </c>
      <c r="F295" s="351" t="s">
        <v>163</v>
      </c>
      <c r="G295" s="351" t="s">
        <v>164</v>
      </c>
      <c r="H295" s="351" t="s">
        <v>221</v>
      </c>
      <c r="I295" s="351" t="s">
        <v>220</v>
      </c>
      <c r="J295" s="352" t="s">
        <v>161</v>
      </c>
    </row>
    <row r="296" spans="1:10" ht="23.25" x14ac:dyDescent="0.2">
      <c r="A296" s="380" t="str">
        <f>'1-zapasy'!A102</f>
        <v>M-4</v>
      </c>
      <c r="B296" s="356"/>
      <c r="C296" s="357" t="e">
        <f>LEFT('1-zapasy'!B102,SEARCH("(",'1-zapasy'!B102)-1)</f>
        <v>#VALUE!</v>
      </c>
      <c r="D296" s="357" t="e">
        <f>LEFT('1-zapasy'!C102,SEARCH("(",'1-zapasy'!C102)-1)</f>
        <v>#VALUE!</v>
      </c>
      <c r="E296" s="359"/>
      <c r="F296" s="359"/>
      <c r="G296" s="359"/>
      <c r="H296" s="359"/>
      <c r="I296" s="359"/>
      <c r="J296" s="360"/>
    </row>
    <row r="297" spans="1:10" ht="24" thickBot="1" x14ac:dyDescent="0.25">
      <c r="A297" s="425" t="s">
        <v>165</v>
      </c>
      <c r="B297" s="426"/>
      <c r="C297" s="361" t="e">
        <f>C292</f>
        <v>#VALUE!</v>
      </c>
      <c r="D297" s="362" t="s">
        <v>166</v>
      </c>
      <c r="E297" s="427"/>
      <c r="F297" s="427"/>
      <c r="G297" s="427"/>
      <c r="H297" s="427"/>
      <c r="I297" s="427"/>
      <c r="J297" s="428"/>
    </row>
    <row r="298" spans="1:10" ht="13.5" thickBot="1" x14ac:dyDescent="0.25">
      <c r="A298" s="367"/>
    </row>
    <row r="299" spans="1:10" x14ac:dyDescent="0.2">
      <c r="A299" s="348"/>
      <c r="B299" s="349" t="s">
        <v>60</v>
      </c>
      <c r="C299" s="350" t="s">
        <v>96</v>
      </c>
      <c r="D299" s="350" t="s">
        <v>97</v>
      </c>
      <c r="E299" s="351" t="s">
        <v>162</v>
      </c>
      <c r="F299" s="351" t="s">
        <v>163</v>
      </c>
      <c r="G299" s="351" t="s">
        <v>164</v>
      </c>
      <c r="H299" s="351" t="s">
        <v>221</v>
      </c>
      <c r="I299" s="351" t="s">
        <v>220</v>
      </c>
      <c r="J299" s="352" t="s">
        <v>161</v>
      </c>
    </row>
    <row r="300" spans="1:10" ht="23.25" x14ac:dyDescent="0.2">
      <c r="A300" s="380" t="str">
        <f>'1-zapasy'!A103</f>
        <v>M-5</v>
      </c>
      <c r="B300" s="356"/>
      <c r="C300" s="357" t="e">
        <f>LEFT('1-zapasy'!B103,SEARCH("(",'1-zapasy'!B103)-1)</f>
        <v>#VALUE!</v>
      </c>
      <c r="D300" s="357" t="e">
        <f>LEFT('1-zapasy'!C103,SEARCH("(",'1-zapasy'!C103)-1)</f>
        <v>#VALUE!</v>
      </c>
      <c r="E300" s="359"/>
      <c r="F300" s="359"/>
      <c r="G300" s="359"/>
      <c r="H300" s="359"/>
      <c r="I300" s="359"/>
      <c r="J300" s="360"/>
    </row>
    <row r="301" spans="1:10" ht="24" thickBot="1" x14ac:dyDescent="0.25">
      <c r="A301" s="425" t="s">
        <v>165</v>
      </c>
      <c r="B301" s="426"/>
      <c r="C301" s="361" t="e">
        <f>C285</f>
        <v>#VALUE!</v>
      </c>
      <c r="D301" s="362" t="s">
        <v>166</v>
      </c>
      <c r="E301" s="427"/>
      <c r="F301" s="427"/>
      <c r="G301" s="427"/>
      <c r="H301" s="427"/>
      <c r="I301" s="427"/>
      <c r="J301" s="428"/>
    </row>
    <row r="302" spans="1:10" ht="13.5" thickBot="1" x14ac:dyDescent="0.25"/>
    <row r="303" spans="1:10" x14ac:dyDescent="0.2">
      <c r="A303" s="348"/>
      <c r="B303" s="349" t="s">
        <v>60</v>
      </c>
      <c r="C303" s="350" t="s">
        <v>96</v>
      </c>
      <c r="D303" s="350" t="s">
        <v>97</v>
      </c>
      <c r="E303" s="351" t="s">
        <v>162</v>
      </c>
      <c r="F303" s="351" t="s">
        <v>163</v>
      </c>
      <c r="G303" s="351" t="s">
        <v>164</v>
      </c>
      <c r="H303" s="351" t="s">
        <v>221</v>
      </c>
      <c r="I303" s="351" t="s">
        <v>220</v>
      </c>
      <c r="J303" s="352" t="s">
        <v>161</v>
      </c>
    </row>
    <row r="304" spans="1:10" ht="23.25" x14ac:dyDescent="0.2">
      <c r="A304" s="380" t="str">
        <f>'1-zapasy'!A104</f>
        <v>M-6</v>
      </c>
      <c r="B304" s="356"/>
      <c r="C304" s="357" t="e">
        <f>LEFT('1-zapasy'!B104,SEARCH("(",'1-zapasy'!B104)-1)</f>
        <v>#VALUE!</v>
      </c>
      <c r="D304" s="357" t="e">
        <f>LEFT('1-zapasy'!C104,SEARCH("(",'1-zapasy'!C104)-1)</f>
        <v>#VALUE!</v>
      </c>
      <c r="E304" s="359"/>
      <c r="F304" s="359"/>
      <c r="G304" s="359"/>
      <c r="H304" s="359"/>
      <c r="I304" s="359"/>
      <c r="J304" s="360"/>
    </row>
    <row r="305" spans="1:10" ht="24" thickBot="1" x14ac:dyDescent="0.25">
      <c r="A305" s="425" t="s">
        <v>165</v>
      </c>
      <c r="B305" s="426"/>
      <c r="C305" s="361" t="e">
        <f>C293</f>
        <v>#VALUE!</v>
      </c>
      <c r="D305" s="362" t="s">
        <v>166</v>
      </c>
      <c r="E305" s="427"/>
      <c r="F305" s="427"/>
      <c r="G305" s="427"/>
      <c r="H305" s="427"/>
      <c r="I305" s="427"/>
      <c r="J305" s="428"/>
    </row>
    <row r="306" spans="1:10" ht="13.5" thickBot="1" x14ac:dyDescent="0.25">
      <c r="A306" s="367"/>
    </row>
    <row r="307" spans="1:10" x14ac:dyDescent="0.2">
      <c r="A307" s="348"/>
      <c r="B307" s="349" t="s">
        <v>60</v>
      </c>
      <c r="C307" s="350" t="s">
        <v>96</v>
      </c>
      <c r="D307" s="350" t="s">
        <v>97</v>
      </c>
      <c r="E307" s="351" t="s">
        <v>162</v>
      </c>
      <c r="F307" s="351" t="s">
        <v>163</v>
      </c>
      <c r="G307" s="351" t="s">
        <v>164</v>
      </c>
      <c r="H307" s="351" t="s">
        <v>221</v>
      </c>
      <c r="I307" s="351" t="s">
        <v>220</v>
      </c>
      <c r="J307" s="352" t="s">
        <v>161</v>
      </c>
    </row>
    <row r="308" spans="1:10" ht="23.25" x14ac:dyDescent="0.2">
      <c r="A308" s="380" t="str">
        <f>'1-zapasy'!A107</f>
        <v>N-1</v>
      </c>
      <c r="B308" s="356"/>
      <c r="C308" s="357" t="e">
        <f>LEFT('1-zapasy'!B107,SEARCH("(",'1-zapasy'!B107)-1)</f>
        <v>#VALUE!</v>
      </c>
      <c r="D308" s="357" t="e">
        <f>LEFT('1-zapasy'!C107,SEARCH("(",'1-zapasy'!C107)-1)</f>
        <v>#VALUE!</v>
      </c>
      <c r="E308" s="358"/>
      <c r="F308" s="359"/>
      <c r="G308" s="359"/>
      <c r="H308" s="359"/>
      <c r="I308" s="359"/>
      <c r="J308" s="360"/>
    </row>
    <row r="309" spans="1:10" ht="24" thickBot="1" x14ac:dyDescent="0.25">
      <c r="A309" s="425" t="s">
        <v>165</v>
      </c>
      <c r="B309" s="426"/>
      <c r="C309" s="361" t="e">
        <f>C312</f>
        <v>#VALUE!</v>
      </c>
      <c r="D309" s="362" t="s">
        <v>166</v>
      </c>
      <c r="E309" s="427"/>
      <c r="F309" s="427"/>
      <c r="G309" s="427"/>
      <c r="H309" s="427"/>
      <c r="I309" s="427"/>
      <c r="J309" s="428"/>
    </row>
    <row r="310" spans="1:10" ht="13.5" thickBot="1" x14ac:dyDescent="0.25"/>
    <row r="311" spans="1:10" x14ac:dyDescent="0.2">
      <c r="A311" s="348"/>
      <c r="B311" s="349" t="s">
        <v>60</v>
      </c>
      <c r="C311" s="350" t="s">
        <v>96</v>
      </c>
      <c r="D311" s="350" t="s">
        <v>97</v>
      </c>
      <c r="E311" s="351" t="s">
        <v>162</v>
      </c>
      <c r="F311" s="351" t="s">
        <v>163</v>
      </c>
      <c r="G311" s="351" t="s">
        <v>164</v>
      </c>
      <c r="H311" s="351" t="s">
        <v>221</v>
      </c>
      <c r="I311" s="351" t="s">
        <v>220</v>
      </c>
      <c r="J311" s="352" t="s">
        <v>161</v>
      </c>
    </row>
    <row r="312" spans="1:10" ht="23.25" x14ac:dyDescent="0.2">
      <c r="A312" s="380" t="str">
        <f>'1-zapasy'!A108</f>
        <v>N-2</v>
      </c>
      <c r="B312" s="356"/>
      <c r="C312" s="357" t="e">
        <f>LEFT('1-zapasy'!B108,SEARCH("(",'1-zapasy'!B108)-1)</f>
        <v>#VALUE!</v>
      </c>
      <c r="D312" s="357" t="e">
        <f>LEFT('1-zapasy'!C108,SEARCH("(",'1-zapasy'!C108)-1)</f>
        <v>#VALUE!</v>
      </c>
      <c r="E312" s="359"/>
      <c r="F312" s="359"/>
      <c r="G312" s="359"/>
      <c r="H312" s="359"/>
      <c r="I312" s="359"/>
      <c r="J312" s="360"/>
    </row>
    <row r="313" spans="1:10" ht="24" thickBot="1" x14ac:dyDescent="0.25">
      <c r="A313" s="425" t="s">
        <v>165</v>
      </c>
      <c r="B313" s="426"/>
      <c r="C313" s="361" t="e">
        <f>C308</f>
        <v>#VALUE!</v>
      </c>
      <c r="D313" s="362" t="s">
        <v>166</v>
      </c>
      <c r="E313" s="427"/>
      <c r="F313" s="427"/>
      <c r="G313" s="427"/>
      <c r="H313" s="427"/>
      <c r="I313" s="427"/>
      <c r="J313" s="428"/>
    </row>
    <row r="314" spans="1:10" ht="13.5" thickBot="1" x14ac:dyDescent="0.25">
      <c r="A314" s="367"/>
    </row>
    <row r="315" spans="1:10" x14ac:dyDescent="0.2">
      <c r="A315" s="348"/>
      <c r="B315" s="349" t="s">
        <v>60</v>
      </c>
      <c r="C315" s="350" t="s">
        <v>96</v>
      </c>
      <c r="D315" s="350" t="s">
        <v>97</v>
      </c>
      <c r="E315" s="351" t="s">
        <v>162</v>
      </c>
      <c r="F315" s="351" t="s">
        <v>163</v>
      </c>
      <c r="G315" s="351" t="s">
        <v>164</v>
      </c>
      <c r="H315" s="351" t="s">
        <v>221</v>
      </c>
      <c r="I315" s="351" t="s">
        <v>220</v>
      </c>
      <c r="J315" s="352" t="s">
        <v>161</v>
      </c>
    </row>
    <row r="316" spans="1:10" ht="23.25" x14ac:dyDescent="0.2">
      <c r="A316" s="380" t="str">
        <f>'1-zapasy'!A109</f>
        <v>N-3</v>
      </c>
      <c r="B316" s="356"/>
      <c r="C316" s="357" t="e">
        <f>LEFT('1-zapasy'!B109,SEARCH("(",'1-zapasy'!B109)-1)</f>
        <v>#VALUE!</v>
      </c>
      <c r="D316" s="357" t="e">
        <f>LEFT('1-zapasy'!C109,SEARCH("(",'1-zapasy'!C109)-1)</f>
        <v>#VALUE!</v>
      </c>
      <c r="E316" s="359"/>
      <c r="F316" s="359"/>
      <c r="G316" s="359"/>
      <c r="H316" s="359"/>
      <c r="I316" s="359"/>
      <c r="J316" s="360"/>
    </row>
    <row r="317" spans="1:10" ht="24" thickBot="1" x14ac:dyDescent="0.25">
      <c r="A317" s="425" t="s">
        <v>165</v>
      </c>
      <c r="B317" s="426"/>
      <c r="C317" s="361" t="e">
        <f>C304</f>
        <v>#VALUE!</v>
      </c>
      <c r="D317" s="362" t="s">
        <v>166</v>
      </c>
      <c r="E317" s="427"/>
      <c r="F317" s="427"/>
      <c r="G317" s="427"/>
      <c r="H317" s="427"/>
      <c r="I317" s="427"/>
      <c r="J317" s="428"/>
    </row>
    <row r="318" spans="1:10" ht="13.5" thickBot="1" x14ac:dyDescent="0.25">
      <c r="A318" s="367"/>
    </row>
    <row r="319" spans="1:10" x14ac:dyDescent="0.2">
      <c r="A319" s="348"/>
      <c r="B319" s="349" t="s">
        <v>60</v>
      </c>
      <c r="C319" s="350" t="s">
        <v>96</v>
      </c>
      <c r="D319" s="350" t="s">
        <v>97</v>
      </c>
      <c r="E319" s="351" t="s">
        <v>162</v>
      </c>
      <c r="F319" s="351" t="s">
        <v>163</v>
      </c>
      <c r="G319" s="351" t="s">
        <v>164</v>
      </c>
      <c r="H319" s="351" t="s">
        <v>221</v>
      </c>
      <c r="I319" s="351" t="s">
        <v>220</v>
      </c>
      <c r="J319" s="352" t="s">
        <v>161</v>
      </c>
    </row>
    <row r="320" spans="1:10" ht="23.25" x14ac:dyDescent="0.2">
      <c r="A320" s="380" t="str">
        <f>'1-zapasy'!A110</f>
        <v>N-4</v>
      </c>
      <c r="B320" s="356"/>
      <c r="C320" s="357" t="e">
        <f>LEFT('1-zapasy'!B110,SEARCH("(",'1-zapasy'!B110)-1)</f>
        <v>#VALUE!</v>
      </c>
      <c r="D320" s="357" t="e">
        <f>LEFT('1-zapasy'!C110,SEARCH("(",'1-zapasy'!C110)-1)</f>
        <v>#VALUE!</v>
      </c>
      <c r="E320" s="359"/>
      <c r="F320" s="359"/>
      <c r="G320" s="359"/>
      <c r="H320" s="359"/>
      <c r="I320" s="359"/>
      <c r="J320" s="360"/>
    </row>
    <row r="321" spans="1:10" ht="24" thickBot="1" x14ac:dyDescent="0.25">
      <c r="A321" s="425" t="s">
        <v>165</v>
      </c>
      <c r="B321" s="426"/>
      <c r="C321" s="361" t="e">
        <f>C316</f>
        <v>#VALUE!</v>
      </c>
      <c r="D321" s="362" t="s">
        <v>166</v>
      </c>
      <c r="E321" s="427"/>
      <c r="F321" s="427"/>
      <c r="G321" s="427"/>
      <c r="H321" s="427"/>
      <c r="I321" s="427"/>
      <c r="J321" s="428"/>
    </row>
    <row r="322" spans="1:10" ht="13.5" thickBot="1" x14ac:dyDescent="0.25">
      <c r="A322" s="367"/>
    </row>
    <row r="323" spans="1:10" x14ac:dyDescent="0.2">
      <c r="A323" s="348"/>
      <c r="B323" s="349" t="s">
        <v>60</v>
      </c>
      <c r="C323" s="350" t="s">
        <v>96</v>
      </c>
      <c r="D323" s="350" t="s">
        <v>97</v>
      </c>
      <c r="E323" s="351" t="s">
        <v>162</v>
      </c>
      <c r="F323" s="351" t="s">
        <v>163</v>
      </c>
      <c r="G323" s="351" t="s">
        <v>164</v>
      </c>
      <c r="H323" s="351" t="s">
        <v>221</v>
      </c>
      <c r="I323" s="351" t="s">
        <v>220</v>
      </c>
      <c r="J323" s="352" t="s">
        <v>161</v>
      </c>
    </row>
    <row r="324" spans="1:10" ht="23.25" x14ac:dyDescent="0.2">
      <c r="A324" s="380" t="str">
        <f>'1-zapasy'!A111</f>
        <v>N-5</v>
      </c>
      <c r="B324" s="356"/>
      <c r="C324" s="357" t="e">
        <f>LEFT('1-zapasy'!B111,SEARCH("(",'1-zapasy'!B111)-1)</f>
        <v>#VALUE!</v>
      </c>
      <c r="D324" s="357" t="e">
        <f>LEFT('1-zapasy'!C111,SEARCH("(",'1-zapasy'!C111)-1)</f>
        <v>#VALUE!</v>
      </c>
      <c r="E324" s="359"/>
      <c r="F324" s="359"/>
      <c r="G324" s="359"/>
      <c r="H324" s="359"/>
      <c r="I324" s="359"/>
      <c r="J324" s="360"/>
    </row>
    <row r="325" spans="1:10" ht="24" thickBot="1" x14ac:dyDescent="0.25">
      <c r="A325" s="425" t="s">
        <v>165</v>
      </c>
      <c r="B325" s="426"/>
      <c r="C325" s="361" t="e">
        <f>C309</f>
        <v>#VALUE!</v>
      </c>
      <c r="D325" s="362" t="s">
        <v>166</v>
      </c>
      <c r="E325" s="427"/>
      <c r="F325" s="427"/>
      <c r="G325" s="427"/>
      <c r="H325" s="427"/>
      <c r="I325" s="427"/>
      <c r="J325" s="428"/>
    </row>
    <row r="326" spans="1:10" ht="13.5" thickBot="1" x14ac:dyDescent="0.25"/>
    <row r="327" spans="1:10" x14ac:dyDescent="0.2">
      <c r="A327" s="348"/>
      <c r="B327" s="349" t="s">
        <v>60</v>
      </c>
      <c r="C327" s="350" t="s">
        <v>96</v>
      </c>
      <c r="D327" s="350" t="s">
        <v>97</v>
      </c>
      <c r="E327" s="351" t="s">
        <v>162</v>
      </c>
      <c r="F327" s="351" t="s">
        <v>163</v>
      </c>
      <c r="G327" s="351" t="s">
        <v>164</v>
      </c>
      <c r="H327" s="351" t="s">
        <v>221</v>
      </c>
      <c r="I327" s="351" t="s">
        <v>220</v>
      </c>
      <c r="J327" s="352" t="s">
        <v>161</v>
      </c>
    </row>
    <row r="328" spans="1:10" ht="23.25" x14ac:dyDescent="0.2">
      <c r="A328" s="380" t="str">
        <f>'1-zapasy'!A112</f>
        <v>N-6</v>
      </c>
      <c r="B328" s="356"/>
      <c r="C328" s="357" t="e">
        <f>LEFT('1-zapasy'!B112,SEARCH("(",'1-zapasy'!B112)-1)</f>
        <v>#VALUE!</v>
      </c>
      <c r="D328" s="357" t="e">
        <f>LEFT('1-zapasy'!C112,SEARCH("(",'1-zapasy'!C112)-1)</f>
        <v>#VALUE!</v>
      </c>
      <c r="E328" s="359"/>
      <c r="F328" s="359"/>
      <c r="G328" s="359"/>
      <c r="H328" s="359"/>
      <c r="I328" s="359"/>
      <c r="J328" s="360"/>
    </row>
    <row r="329" spans="1:10" ht="24" thickBot="1" x14ac:dyDescent="0.25">
      <c r="A329" s="425" t="s">
        <v>165</v>
      </c>
      <c r="B329" s="426"/>
      <c r="C329" s="361" t="e">
        <f>C317</f>
        <v>#VALUE!</v>
      </c>
      <c r="D329" s="362" t="s">
        <v>166</v>
      </c>
      <c r="E329" s="427"/>
      <c r="F329" s="427"/>
      <c r="G329" s="427"/>
      <c r="H329" s="427"/>
      <c r="I329" s="427"/>
      <c r="J329" s="428"/>
    </row>
    <row r="330" spans="1:10" x14ac:dyDescent="0.2">
      <c r="A330" s="348"/>
      <c r="B330" s="349" t="s">
        <v>60</v>
      </c>
      <c r="C330" s="350" t="s">
        <v>96</v>
      </c>
      <c r="D330" s="350" t="s">
        <v>97</v>
      </c>
      <c r="E330" s="351" t="s">
        <v>162</v>
      </c>
      <c r="F330" s="351" t="s">
        <v>163</v>
      </c>
      <c r="G330" s="351" t="s">
        <v>164</v>
      </c>
      <c r="H330" s="351" t="s">
        <v>221</v>
      </c>
      <c r="I330" s="351" t="s">
        <v>220</v>
      </c>
      <c r="J330" s="352" t="s">
        <v>161</v>
      </c>
    </row>
    <row r="331" spans="1:10" ht="23.25" x14ac:dyDescent="0.2">
      <c r="A331" s="380" t="str">
        <f>'1-zapasy'!A115</f>
        <v>O-1</v>
      </c>
      <c r="B331" s="356"/>
      <c r="C331" s="357" t="e">
        <f>LEFT('1-zapasy'!B115,SEARCH("(",'1-zapasy'!B115)-1)</f>
        <v>#VALUE!</v>
      </c>
      <c r="D331" s="357" t="e">
        <f>LEFT('1-zapasy'!C115,SEARCH("(",'1-zapasy'!C115)-1)</f>
        <v>#VALUE!</v>
      </c>
      <c r="E331" s="358"/>
      <c r="F331" s="359"/>
      <c r="G331" s="359"/>
      <c r="H331" s="359"/>
      <c r="I331" s="359"/>
      <c r="J331" s="360"/>
    </row>
    <row r="332" spans="1:10" ht="24" thickBot="1" x14ac:dyDescent="0.25">
      <c r="A332" s="425" t="s">
        <v>165</v>
      </c>
      <c r="B332" s="426"/>
      <c r="C332" s="361" t="e">
        <f>C335</f>
        <v>#VALUE!</v>
      </c>
      <c r="D332" s="362" t="s">
        <v>166</v>
      </c>
      <c r="E332" s="427"/>
      <c r="F332" s="427"/>
      <c r="G332" s="427"/>
      <c r="H332" s="427"/>
      <c r="I332" s="427"/>
      <c r="J332" s="428"/>
    </row>
    <row r="333" spans="1:10" ht="13.5" thickBot="1" x14ac:dyDescent="0.25"/>
    <row r="334" spans="1:10" x14ac:dyDescent="0.2">
      <c r="A334" s="348"/>
      <c r="B334" s="349" t="s">
        <v>60</v>
      </c>
      <c r="C334" s="350" t="s">
        <v>96</v>
      </c>
      <c r="D334" s="350" t="s">
        <v>97</v>
      </c>
      <c r="E334" s="351" t="s">
        <v>162</v>
      </c>
      <c r="F334" s="351" t="s">
        <v>163</v>
      </c>
      <c r="G334" s="351" t="s">
        <v>164</v>
      </c>
      <c r="H334" s="351" t="s">
        <v>221</v>
      </c>
      <c r="I334" s="351" t="s">
        <v>220</v>
      </c>
      <c r="J334" s="352" t="s">
        <v>161</v>
      </c>
    </row>
    <row r="335" spans="1:10" ht="23.25" x14ac:dyDescent="0.2">
      <c r="A335" s="380" t="str">
        <f>'1-zapasy'!A116</f>
        <v>O-2</v>
      </c>
      <c r="B335" s="356"/>
      <c r="C335" s="357" t="e">
        <f>LEFT('1-zapasy'!B116,SEARCH("(",'1-zapasy'!B116)-1)</f>
        <v>#VALUE!</v>
      </c>
      <c r="D335" s="357" t="e">
        <f>LEFT('1-zapasy'!C116,SEARCH("(",'1-zapasy'!C116)-1)</f>
        <v>#VALUE!</v>
      </c>
      <c r="E335" s="359"/>
      <c r="F335" s="359"/>
      <c r="G335" s="359"/>
      <c r="H335" s="359"/>
      <c r="I335" s="359"/>
      <c r="J335" s="360"/>
    </row>
    <row r="336" spans="1:10" ht="24" thickBot="1" x14ac:dyDescent="0.25">
      <c r="A336" s="425" t="s">
        <v>165</v>
      </c>
      <c r="B336" s="426"/>
      <c r="C336" s="361" t="e">
        <f>C331</f>
        <v>#VALUE!</v>
      </c>
      <c r="D336" s="362" t="s">
        <v>166</v>
      </c>
      <c r="E336" s="427"/>
      <c r="F336" s="427"/>
      <c r="G336" s="427"/>
      <c r="H336" s="427"/>
      <c r="I336" s="427"/>
      <c r="J336" s="428"/>
    </row>
    <row r="337" spans="1:10" ht="13.5" thickBot="1" x14ac:dyDescent="0.25">
      <c r="A337" s="367"/>
    </row>
    <row r="338" spans="1:10" x14ac:dyDescent="0.2">
      <c r="A338" s="348"/>
      <c r="B338" s="349" t="s">
        <v>60</v>
      </c>
      <c r="C338" s="350" t="s">
        <v>96</v>
      </c>
      <c r="D338" s="350" t="s">
        <v>97</v>
      </c>
      <c r="E338" s="351" t="s">
        <v>162</v>
      </c>
      <c r="F338" s="351" t="s">
        <v>163</v>
      </c>
      <c r="G338" s="351" t="s">
        <v>164</v>
      </c>
      <c r="H338" s="351" t="s">
        <v>221</v>
      </c>
      <c r="I338" s="351" t="s">
        <v>220</v>
      </c>
      <c r="J338" s="352" t="s">
        <v>161</v>
      </c>
    </row>
    <row r="339" spans="1:10" ht="23.25" x14ac:dyDescent="0.2">
      <c r="A339" s="380" t="str">
        <f>'1-zapasy'!A117</f>
        <v>O-3</v>
      </c>
      <c r="B339" s="356"/>
      <c r="C339" s="357" t="e">
        <f>LEFT('1-zapasy'!B117,SEARCH("(",'1-zapasy'!B117)-1)</f>
        <v>#VALUE!</v>
      </c>
      <c r="D339" s="357" t="e">
        <f>LEFT('1-zapasy'!C117,SEARCH("(",'1-zapasy'!C117)-1)</f>
        <v>#VALUE!</v>
      </c>
      <c r="E339" s="359"/>
      <c r="F339" s="359"/>
      <c r="G339" s="359"/>
      <c r="H339" s="359"/>
      <c r="I339" s="359"/>
      <c r="J339" s="360"/>
    </row>
    <row r="340" spans="1:10" ht="24" thickBot="1" x14ac:dyDescent="0.25">
      <c r="A340" s="425" t="s">
        <v>165</v>
      </c>
      <c r="B340" s="426"/>
      <c r="C340" s="361" t="e">
        <f>C343</f>
        <v>#VALUE!</v>
      </c>
      <c r="D340" s="362" t="s">
        <v>166</v>
      </c>
      <c r="E340" s="427"/>
      <c r="F340" s="427"/>
      <c r="G340" s="427"/>
      <c r="H340" s="427"/>
      <c r="I340" s="427"/>
      <c r="J340" s="428"/>
    </row>
    <row r="341" spans="1:10" ht="13.5" thickBot="1" x14ac:dyDescent="0.25"/>
    <row r="342" spans="1:10" x14ac:dyDescent="0.2">
      <c r="A342" s="348"/>
      <c r="B342" s="349" t="s">
        <v>60</v>
      </c>
      <c r="C342" s="350" t="s">
        <v>96</v>
      </c>
      <c r="D342" s="350" t="s">
        <v>97</v>
      </c>
      <c r="E342" s="351" t="s">
        <v>162</v>
      </c>
      <c r="F342" s="351" t="s">
        <v>163</v>
      </c>
      <c r="G342" s="351" t="s">
        <v>164</v>
      </c>
      <c r="H342" s="351" t="s">
        <v>221</v>
      </c>
      <c r="I342" s="351" t="s">
        <v>220</v>
      </c>
      <c r="J342" s="352" t="s">
        <v>161</v>
      </c>
    </row>
    <row r="343" spans="1:10" ht="23.25" x14ac:dyDescent="0.2">
      <c r="A343" s="380" t="str">
        <f>'1-zapasy'!A118</f>
        <v>O-4</v>
      </c>
      <c r="B343" s="356"/>
      <c r="C343" s="357" t="e">
        <f>LEFT('1-zapasy'!B118,SEARCH("(",'1-zapasy'!B118)-1)</f>
        <v>#VALUE!</v>
      </c>
      <c r="D343" s="357" t="e">
        <f>LEFT('1-zapasy'!C118,SEARCH("(",'1-zapasy'!C118)-1)</f>
        <v>#VALUE!</v>
      </c>
      <c r="E343" s="359"/>
      <c r="F343" s="359"/>
      <c r="G343" s="359"/>
      <c r="H343" s="359"/>
      <c r="I343" s="359"/>
      <c r="J343" s="360"/>
    </row>
    <row r="344" spans="1:10" ht="24" thickBot="1" x14ac:dyDescent="0.25">
      <c r="A344" s="425" t="s">
        <v>165</v>
      </c>
      <c r="B344" s="426"/>
      <c r="C344" s="361" t="e">
        <f>C339</f>
        <v>#VALUE!</v>
      </c>
      <c r="D344" s="362" t="s">
        <v>166</v>
      </c>
      <c r="E344" s="427"/>
      <c r="F344" s="427"/>
      <c r="G344" s="427"/>
      <c r="H344" s="427"/>
      <c r="I344" s="427"/>
      <c r="J344" s="428"/>
    </row>
    <row r="345" spans="1:10" ht="13.5" thickBot="1" x14ac:dyDescent="0.25">
      <c r="A345" s="367"/>
    </row>
    <row r="346" spans="1:10" x14ac:dyDescent="0.2">
      <c r="A346" s="348"/>
      <c r="B346" s="349" t="s">
        <v>60</v>
      </c>
      <c r="C346" s="350" t="s">
        <v>96</v>
      </c>
      <c r="D346" s="350" t="s">
        <v>97</v>
      </c>
      <c r="E346" s="351" t="s">
        <v>162</v>
      </c>
      <c r="F346" s="351" t="s">
        <v>163</v>
      </c>
      <c r="G346" s="351" t="s">
        <v>164</v>
      </c>
      <c r="H346" s="351" t="s">
        <v>221</v>
      </c>
      <c r="I346" s="351" t="s">
        <v>220</v>
      </c>
      <c r="J346" s="352" t="s">
        <v>161</v>
      </c>
    </row>
    <row r="347" spans="1:10" ht="23.25" x14ac:dyDescent="0.2">
      <c r="A347" s="380" t="str">
        <f>'1-zapasy'!A119</f>
        <v>O-5</v>
      </c>
      <c r="B347" s="356"/>
      <c r="C347" s="357" t="e">
        <f>LEFT('1-zapasy'!B119,SEARCH("(",'1-zapasy'!B119)-1)</f>
        <v>#VALUE!</v>
      </c>
      <c r="D347" s="357" t="e">
        <f>LEFT('1-zapasy'!C119,SEARCH("(",'1-zapasy'!C119)-1)</f>
        <v>#VALUE!</v>
      </c>
      <c r="E347" s="359"/>
      <c r="F347" s="359"/>
      <c r="G347" s="359"/>
      <c r="H347" s="359"/>
      <c r="I347" s="359"/>
      <c r="J347" s="360"/>
    </row>
    <row r="348" spans="1:10" ht="24" thickBot="1" x14ac:dyDescent="0.25">
      <c r="A348" s="425" t="s">
        <v>165</v>
      </c>
      <c r="B348" s="426"/>
      <c r="C348" s="361" t="e">
        <f>C332</f>
        <v>#VALUE!</v>
      </c>
      <c r="D348" s="362" t="s">
        <v>166</v>
      </c>
      <c r="E348" s="427"/>
      <c r="F348" s="427"/>
      <c r="G348" s="427"/>
      <c r="H348" s="427"/>
      <c r="I348" s="427"/>
      <c r="J348" s="428"/>
    </row>
    <row r="349" spans="1:10" ht="13.5" thickBot="1" x14ac:dyDescent="0.25"/>
    <row r="350" spans="1:10" x14ac:dyDescent="0.2">
      <c r="A350" s="348"/>
      <c r="B350" s="349" t="s">
        <v>60</v>
      </c>
      <c r="C350" s="350" t="s">
        <v>96</v>
      </c>
      <c r="D350" s="350" t="s">
        <v>97</v>
      </c>
      <c r="E350" s="351" t="s">
        <v>162</v>
      </c>
      <c r="F350" s="351" t="s">
        <v>163</v>
      </c>
      <c r="G350" s="351" t="s">
        <v>164</v>
      </c>
      <c r="H350" s="351" t="s">
        <v>221</v>
      </c>
      <c r="I350" s="351" t="s">
        <v>220</v>
      </c>
      <c r="J350" s="352" t="s">
        <v>161</v>
      </c>
    </row>
    <row r="351" spans="1:10" ht="23.25" x14ac:dyDescent="0.2">
      <c r="A351" s="380" t="str">
        <f>'1-zapasy'!A120</f>
        <v>O-6</v>
      </c>
      <c r="B351" s="356"/>
      <c r="C351" s="357" t="e">
        <f>LEFT('1-zapasy'!B120,SEARCH("(",'1-zapasy'!B120)-1)</f>
        <v>#VALUE!</v>
      </c>
      <c r="D351" s="357" t="e">
        <f>LEFT('1-zapasy'!C120,SEARCH("(",'1-zapasy'!C120)-1)</f>
        <v>#VALUE!</v>
      </c>
      <c r="E351" s="359"/>
      <c r="F351" s="359"/>
      <c r="G351" s="359"/>
      <c r="H351" s="359"/>
      <c r="I351" s="359"/>
      <c r="J351" s="360"/>
    </row>
    <row r="352" spans="1:10" ht="24" thickBot="1" x14ac:dyDescent="0.25">
      <c r="A352" s="425" t="s">
        <v>165</v>
      </c>
      <c r="B352" s="426"/>
      <c r="C352" s="361" t="e">
        <f>C340</f>
        <v>#VALUE!</v>
      </c>
      <c r="D352" s="362" t="s">
        <v>166</v>
      </c>
      <c r="E352" s="427"/>
      <c r="F352" s="427"/>
      <c r="G352" s="427"/>
      <c r="H352" s="427"/>
      <c r="I352" s="427"/>
      <c r="J352" s="428"/>
    </row>
    <row r="353" spans="1:10" ht="13.5" thickBot="1" x14ac:dyDescent="0.25">
      <c r="A353" s="367"/>
    </row>
    <row r="354" spans="1:10" x14ac:dyDescent="0.2">
      <c r="A354" s="348"/>
      <c r="B354" s="349" t="s">
        <v>60</v>
      </c>
      <c r="C354" s="350" t="s">
        <v>96</v>
      </c>
      <c r="D354" s="350" t="s">
        <v>97</v>
      </c>
      <c r="E354" s="351" t="s">
        <v>162</v>
      </c>
      <c r="F354" s="351" t="s">
        <v>163</v>
      </c>
      <c r="G354" s="351" t="s">
        <v>164</v>
      </c>
      <c r="H354" s="351" t="s">
        <v>221</v>
      </c>
      <c r="I354" s="351" t="s">
        <v>220</v>
      </c>
      <c r="J354" s="352" t="s">
        <v>161</v>
      </c>
    </row>
    <row r="355" spans="1:10" ht="23.25" x14ac:dyDescent="0.2">
      <c r="A355" s="380" t="str">
        <f>'1-zapasy'!A123</f>
        <v>P-1</v>
      </c>
      <c r="B355" s="356"/>
      <c r="C355" s="357" t="e">
        <f>LEFT('1-zapasy'!B123,SEARCH("(",'1-zapasy'!B123)-1)</f>
        <v>#VALUE!</v>
      </c>
      <c r="D355" s="357" t="e">
        <f>LEFT('1-zapasy'!C123,SEARCH("(",'1-zapasy'!C123)-1)</f>
        <v>#VALUE!</v>
      </c>
      <c r="E355" s="358"/>
      <c r="F355" s="359"/>
      <c r="G355" s="359"/>
      <c r="H355" s="359"/>
      <c r="I355" s="359"/>
      <c r="J355" s="360"/>
    </row>
    <row r="356" spans="1:10" ht="24" thickBot="1" x14ac:dyDescent="0.25">
      <c r="A356" s="425" t="s">
        <v>165</v>
      </c>
      <c r="B356" s="426"/>
      <c r="C356" s="361" t="e">
        <f>C359</f>
        <v>#VALUE!</v>
      </c>
      <c r="D356" s="362" t="s">
        <v>166</v>
      </c>
      <c r="E356" s="427"/>
      <c r="F356" s="427"/>
      <c r="G356" s="427"/>
      <c r="H356" s="427"/>
      <c r="I356" s="427"/>
      <c r="J356" s="428"/>
    </row>
    <row r="357" spans="1:10" ht="13.5" thickBot="1" x14ac:dyDescent="0.25"/>
    <row r="358" spans="1:10" x14ac:dyDescent="0.2">
      <c r="A358" s="348"/>
      <c r="B358" s="349" t="s">
        <v>60</v>
      </c>
      <c r="C358" s="350" t="s">
        <v>96</v>
      </c>
      <c r="D358" s="350" t="s">
        <v>97</v>
      </c>
      <c r="E358" s="351" t="s">
        <v>162</v>
      </c>
      <c r="F358" s="351" t="s">
        <v>163</v>
      </c>
      <c r="G358" s="351" t="s">
        <v>164</v>
      </c>
      <c r="H358" s="351" t="s">
        <v>221</v>
      </c>
      <c r="I358" s="351" t="s">
        <v>220</v>
      </c>
      <c r="J358" s="352" t="s">
        <v>161</v>
      </c>
    </row>
    <row r="359" spans="1:10" ht="23.25" x14ac:dyDescent="0.2">
      <c r="A359" s="380" t="str">
        <f>'1-zapasy'!A124</f>
        <v>P-2</v>
      </c>
      <c r="B359" s="356"/>
      <c r="C359" s="357" t="e">
        <f>LEFT('1-zapasy'!B124,SEARCH("(",'1-zapasy'!B124)-1)</f>
        <v>#VALUE!</v>
      </c>
      <c r="D359" s="357" t="e">
        <f>LEFT('1-zapasy'!C124,SEARCH("(",'1-zapasy'!C124)-1)</f>
        <v>#VALUE!</v>
      </c>
      <c r="E359" s="359"/>
      <c r="F359" s="359"/>
      <c r="G359" s="359"/>
      <c r="H359" s="359"/>
      <c r="I359" s="359"/>
      <c r="J359" s="360"/>
    </row>
    <row r="360" spans="1:10" ht="24" thickBot="1" x14ac:dyDescent="0.25">
      <c r="A360" s="425" t="s">
        <v>165</v>
      </c>
      <c r="B360" s="426"/>
      <c r="C360" s="361" t="e">
        <f>C355</f>
        <v>#VALUE!</v>
      </c>
      <c r="D360" s="362" t="s">
        <v>166</v>
      </c>
      <c r="E360" s="427"/>
      <c r="F360" s="427"/>
      <c r="G360" s="427"/>
      <c r="H360" s="427"/>
      <c r="I360" s="427"/>
      <c r="J360" s="428"/>
    </row>
    <row r="361" spans="1:10" ht="13.5" thickBot="1" x14ac:dyDescent="0.25">
      <c r="A361" s="367"/>
    </row>
    <row r="362" spans="1:10" x14ac:dyDescent="0.2">
      <c r="A362" s="348"/>
      <c r="B362" s="349" t="s">
        <v>60</v>
      </c>
      <c r="C362" s="350" t="s">
        <v>96</v>
      </c>
      <c r="D362" s="350" t="s">
        <v>97</v>
      </c>
      <c r="E362" s="351" t="s">
        <v>162</v>
      </c>
      <c r="F362" s="351" t="s">
        <v>163</v>
      </c>
      <c r="G362" s="351" t="s">
        <v>164</v>
      </c>
      <c r="H362" s="351" t="s">
        <v>221</v>
      </c>
      <c r="I362" s="351" t="s">
        <v>220</v>
      </c>
      <c r="J362" s="352" t="s">
        <v>161</v>
      </c>
    </row>
    <row r="363" spans="1:10" ht="23.25" x14ac:dyDescent="0.2">
      <c r="A363" s="380" t="str">
        <f>'1-zapasy'!A125</f>
        <v>P-3</v>
      </c>
      <c r="B363" s="356"/>
      <c r="C363" s="357" t="e">
        <f>LEFT('1-zapasy'!B125,SEARCH("(",'1-zapasy'!B125)-1)</f>
        <v>#VALUE!</v>
      </c>
      <c r="D363" s="357" t="e">
        <f>LEFT('1-zapasy'!C125,SEARCH("(",'1-zapasy'!C125)-1)</f>
        <v>#VALUE!</v>
      </c>
      <c r="E363" s="359"/>
      <c r="F363" s="359"/>
      <c r="G363" s="359"/>
      <c r="H363" s="359"/>
      <c r="I363" s="359"/>
      <c r="J363" s="360"/>
    </row>
    <row r="364" spans="1:10" ht="24" thickBot="1" x14ac:dyDescent="0.25">
      <c r="A364" s="425" t="s">
        <v>165</v>
      </c>
      <c r="B364" s="426"/>
      <c r="C364" s="361" t="e">
        <f>C367</f>
        <v>#VALUE!</v>
      </c>
      <c r="D364" s="362" t="s">
        <v>166</v>
      </c>
      <c r="E364" s="427"/>
      <c r="F364" s="427"/>
      <c r="G364" s="427"/>
      <c r="H364" s="427"/>
      <c r="I364" s="427"/>
      <c r="J364" s="428"/>
    </row>
    <row r="365" spans="1:10" ht="13.5" thickBot="1" x14ac:dyDescent="0.25">
      <c r="A365" s="367"/>
    </row>
    <row r="366" spans="1:10" x14ac:dyDescent="0.2">
      <c r="A366" s="348"/>
      <c r="B366" s="349" t="s">
        <v>60</v>
      </c>
      <c r="C366" s="350" t="s">
        <v>96</v>
      </c>
      <c r="D366" s="350" t="s">
        <v>97</v>
      </c>
      <c r="E366" s="351" t="s">
        <v>162</v>
      </c>
      <c r="F366" s="351" t="s">
        <v>163</v>
      </c>
      <c r="G366" s="351" t="s">
        <v>164</v>
      </c>
      <c r="H366" s="351" t="s">
        <v>221</v>
      </c>
      <c r="I366" s="351" t="s">
        <v>220</v>
      </c>
      <c r="J366" s="352" t="s">
        <v>161</v>
      </c>
    </row>
    <row r="367" spans="1:10" ht="23.25" x14ac:dyDescent="0.2">
      <c r="A367" s="380" t="str">
        <f>'1-zapasy'!A126</f>
        <v>P-4</v>
      </c>
      <c r="B367" s="356"/>
      <c r="C367" s="357" t="e">
        <f>LEFT('1-zapasy'!B126,SEARCH("(",'1-zapasy'!B126)-1)</f>
        <v>#VALUE!</v>
      </c>
      <c r="D367" s="357" t="e">
        <f>LEFT('1-zapasy'!C126,SEARCH("(",'1-zapasy'!C126)-1)</f>
        <v>#VALUE!</v>
      </c>
      <c r="E367" s="359"/>
      <c r="F367" s="359"/>
      <c r="G367" s="359"/>
      <c r="H367" s="359"/>
      <c r="I367" s="359"/>
      <c r="J367" s="360"/>
    </row>
    <row r="368" spans="1:10" ht="24" thickBot="1" x14ac:dyDescent="0.25">
      <c r="A368" s="425" t="s">
        <v>165</v>
      </c>
      <c r="B368" s="426"/>
      <c r="C368" s="361" t="e">
        <f>C363</f>
        <v>#VALUE!</v>
      </c>
      <c r="D368" s="362" t="s">
        <v>166</v>
      </c>
      <c r="E368" s="427"/>
      <c r="F368" s="427"/>
      <c r="G368" s="427"/>
      <c r="H368" s="427"/>
      <c r="I368" s="427"/>
      <c r="J368" s="428"/>
    </row>
    <row r="369" spans="1:10" ht="13.5" thickBot="1" x14ac:dyDescent="0.25">
      <c r="A369" s="367"/>
    </row>
    <row r="370" spans="1:10" x14ac:dyDescent="0.2">
      <c r="A370" s="348"/>
      <c r="B370" s="349" t="s">
        <v>60</v>
      </c>
      <c r="C370" s="350" t="s">
        <v>96</v>
      </c>
      <c r="D370" s="350" t="s">
        <v>97</v>
      </c>
      <c r="E370" s="351" t="s">
        <v>162</v>
      </c>
      <c r="F370" s="351" t="s">
        <v>163</v>
      </c>
      <c r="G370" s="351" t="s">
        <v>164</v>
      </c>
      <c r="H370" s="351" t="s">
        <v>221</v>
      </c>
      <c r="I370" s="351" t="s">
        <v>220</v>
      </c>
      <c r="J370" s="352" t="s">
        <v>161</v>
      </c>
    </row>
    <row r="371" spans="1:10" ht="23.25" x14ac:dyDescent="0.2">
      <c r="A371" s="380" t="str">
        <f>'1-zapasy'!A127</f>
        <v>P-5</v>
      </c>
      <c r="B371" s="356"/>
      <c r="C371" s="357" t="e">
        <f>LEFT('1-zapasy'!B127,SEARCH("(",'1-zapasy'!B127)-1)</f>
        <v>#VALUE!</v>
      </c>
      <c r="D371" s="357" t="e">
        <f>LEFT('1-zapasy'!C127,SEARCH("(",'1-zapasy'!C127)-1)</f>
        <v>#VALUE!</v>
      </c>
      <c r="E371" s="359"/>
      <c r="F371" s="359"/>
      <c r="G371" s="359"/>
      <c r="H371" s="359"/>
      <c r="I371" s="359"/>
      <c r="J371" s="360"/>
    </row>
    <row r="372" spans="1:10" ht="24" thickBot="1" x14ac:dyDescent="0.25">
      <c r="A372" s="425" t="s">
        <v>165</v>
      </c>
      <c r="B372" s="426"/>
      <c r="C372" s="361" t="e">
        <f>C356</f>
        <v>#VALUE!</v>
      </c>
      <c r="D372" s="362" t="s">
        <v>166</v>
      </c>
      <c r="E372" s="427"/>
      <c r="F372" s="427"/>
      <c r="G372" s="427"/>
      <c r="H372" s="427"/>
      <c r="I372" s="427"/>
      <c r="J372" s="428"/>
    </row>
    <row r="373" spans="1:10" ht="13.5" thickBot="1" x14ac:dyDescent="0.25"/>
    <row r="374" spans="1:10" x14ac:dyDescent="0.2">
      <c r="A374" s="348"/>
      <c r="B374" s="349" t="s">
        <v>60</v>
      </c>
      <c r="C374" s="350" t="s">
        <v>96</v>
      </c>
      <c r="D374" s="350" t="s">
        <v>97</v>
      </c>
      <c r="E374" s="351" t="s">
        <v>162</v>
      </c>
      <c r="F374" s="351" t="s">
        <v>163</v>
      </c>
      <c r="G374" s="351" t="s">
        <v>164</v>
      </c>
      <c r="H374" s="351" t="s">
        <v>221</v>
      </c>
      <c r="I374" s="351" t="s">
        <v>220</v>
      </c>
      <c r="J374" s="352" t="s">
        <v>161</v>
      </c>
    </row>
    <row r="375" spans="1:10" ht="23.25" x14ac:dyDescent="0.2">
      <c r="A375" s="380" t="str">
        <f>'1-zapasy'!A128</f>
        <v>P-6</v>
      </c>
      <c r="B375" s="356"/>
      <c r="C375" s="357" t="e">
        <f>LEFT('1-zapasy'!B128,SEARCH("(",'1-zapasy'!B128)-1)</f>
        <v>#VALUE!</v>
      </c>
      <c r="D375" s="357" t="e">
        <f>LEFT('1-zapasy'!C128,SEARCH("(",'1-zapasy'!C128)-1)</f>
        <v>#VALUE!</v>
      </c>
      <c r="E375" s="359"/>
      <c r="F375" s="359"/>
      <c r="G375" s="359"/>
      <c r="H375" s="359"/>
      <c r="I375" s="359"/>
      <c r="J375" s="360"/>
    </row>
    <row r="376" spans="1:10" ht="24" thickBot="1" x14ac:dyDescent="0.25">
      <c r="A376" s="425" t="s">
        <v>165</v>
      </c>
      <c r="B376" s="426"/>
      <c r="C376" s="361" t="e">
        <f>C364</f>
        <v>#VALUE!</v>
      </c>
      <c r="D376" s="362" t="s">
        <v>166</v>
      </c>
      <c r="E376" s="427"/>
      <c r="F376" s="427"/>
      <c r="G376" s="427"/>
      <c r="H376" s="427"/>
      <c r="I376" s="427"/>
      <c r="J376" s="428"/>
    </row>
    <row r="377" spans="1:10" x14ac:dyDescent="0.2">
      <c r="A377" s="348"/>
      <c r="B377" s="349" t="s">
        <v>60</v>
      </c>
      <c r="C377" s="350" t="s">
        <v>96</v>
      </c>
      <c r="D377" s="350" t="s">
        <v>97</v>
      </c>
      <c r="E377" s="351" t="s">
        <v>162</v>
      </c>
      <c r="F377" s="351" t="s">
        <v>163</v>
      </c>
      <c r="G377" s="351" t="s">
        <v>164</v>
      </c>
      <c r="H377" s="351" t="s">
        <v>221</v>
      </c>
      <c r="I377" s="351" t="s">
        <v>220</v>
      </c>
      <c r="J377" s="352" t="s">
        <v>161</v>
      </c>
    </row>
    <row r="378" spans="1:10" ht="23.25" x14ac:dyDescent="0.2">
      <c r="A378" s="380" t="str">
        <f>'1-zapasy'!A131</f>
        <v>Q-1</v>
      </c>
      <c r="B378" s="356"/>
      <c r="C378" s="357" t="e">
        <f>LEFT('1-zapasy'!B131,SEARCH("(",'1-zapasy'!B131)-1)</f>
        <v>#VALUE!</v>
      </c>
      <c r="D378" s="357" t="e">
        <f>LEFT('1-zapasy'!C131,SEARCH("(",'1-zapasy'!C131)-1)</f>
        <v>#VALUE!</v>
      </c>
      <c r="E378" s="358"/>
      <c r="F378" s="359"/>
      <c r="G378" s="359"/>
      <c r="H378" s="359"/>
      <c r="I378" s="359"/>
      <c r="J378" s="360"/>
    </row>
    <row r="379" spans="1:10" ht="24" thickBot="1" x14ac:dyDescent="0.25">
      <c r="A379" s="425" t="s">
        <v>165</v>
      </c>
      <c r="B379" s="426"/>
      <c r="C379" s="361" t="e">
        <f>C382</f>
        <v>#VALUE!</v>
      </c>
      <c r="D379" s="362" t="s">
        <v>166</v>
      </c>
      <c r="E379" s="427"/>
      <c r="F379" s="427"/>
      <c r="G379" s="427"/>
      <c r="H379" s="427"/>
      <c r="I379" s="427"/>
      <c r="J379" s="428"/>
    </row>
    <row r="380" spans="1:10" ht="13.5" thickBot="1" x14ac:dyDescent="0.25"/>
    <row r="381" spans="1:10" x14ac:dyDescent="0.2">
      <c r="A381" s="348"/>
      <c r="B381" s="349" t="s">
        <v>60</v>
      </c>
      <c r="C381" s="350" t="s">
        <v>96</v>
      </c>
      <c r="D381" s="350" t="s">
        <v>97</v>
      </c>
      <c r="E381" s="351" t="s">
        <v>162</v>
      </c>
      <c r="F381" s="351" t="s">
        <v>163</v>
      </c>
      <c r="G381" s="351" t="s">
        <v>164</v>
      </c>
      <c r="H381" s="351" t="s">
        <v>221</v>
      </c>
      <c r="I381" s="351" t="s">
        <v>220</v>
      </c>
      <c r="J381" s="352" t="s">
        <v>161</v>
      </c>
    </row>
    <row r="382" spans="1:10" ht="23.25" x14ac:dyDescent="0.2">
      <c r="A382" s="380" t="str">
        <f>'1-zapasy'!A132</f>
        <v>Q-2</v>
      </c>
      <c r="B382" s="356"/>
      <c r="C382" s="357" t="e">
        <f>LEFT('1-zapasy'!B132,SEARCH("(",'1-zapasy'!B132)-1)</f>
        <v>#VALUE!</v>
      </c>
      <c r="D382" s="357" t="e">
        <f>LEFT('1-zapasy'!C132,SEARCH("(",'1-zapasy'!C132)-1)</f>
        <v>#VALUE!</v>
      </c>
      <c r="E382" s="359"/>
      <c r="F382" s="359"/>
      <c r="G382" s="359"/>
      <c r="H382" s="359"/>
      <c r="I382" s="359"/>
      <c r="J382" s="360"/>
    </row>
    <row r="383" spans="1:10" ht="24" thickBot="1" x14ac:dyDescent="0.25">
      <c r="A383" s="425" t="s">
        <v>165</v>
      </c>
      <c r="B383" s="426"/>
      <c r="C383" s="361" t="e">
        <f>C378</f>
        <v>#VALUE!</v>
      </c>
      <c r="D383" s="362" t="s">
        <v>166</v>
      </c>
      <c r="E383" s="427"/>
      <c r="F383" s="427"/>
      <c r="G383" s="427"/>
      <c r="H383" s="427"/>
      <c r="I383" s="427"/>
      <c r="J383" s="428"/>
    </row>
    <row r="384" spans="1:10" ht="13.5" thickBot="1" x14ac:dyDescent="0.25">
      <c r="A384" s="367"/>
    </row>
    <row r="385" spans="1:10" x14ac:dyDescent="0.2">
      <c r="A385" s="348"/>
      <c r="B385" s="349" t="s">
        <v>60</v>
      </c>
      <c r="C385" s="350" t="s">
        <v>96</v>
      </c>
      <c r="D385" s="350" t="s">
        <v>97</v>
      </c>
      <c r="E385" s="351" t="s">
        <v>162</v>
      </c>
      <c r="F385" s="351" t="s">
        <v>163</v>
      </c>
      <c r="G385" s="351" t="s">
        <v>164</v>
      </c>
      <c r="H385" s="351" t="s">
        <v>221</v>
      </c>
      <c r="I385" s="351" t="s">
        <v>220</v>
      </c>
      <c r="J385" s="352" t="s">
        <v>161</v>
      </c>
    </row>
    <row r="386" spans="1:10" ht="23.25" x14ac:dyDescent="0.2">
      <c r="A386" s="380" t="str">
        <f>'1-zapasy'!A133</f>
        <v>Q-3</v>
      </c>
      <c r="B386" s="356"/>
      <c r="C386" s="357" t="e">
        <f>LEFT('1-zapasy'!B133,SEARCH("(",'1-zapasy'!B133)-1)</f>
        <v>#VALUE!</v>
      </c>
      <c r="D386" s="357" t="e">
        <f>LEFT('1-zapasy'!C133,SEARCH("(",'1-zapasy'!C133)-1)</f>
        <v>#VALUE!</v>
      </c>
      <c r="E386" s="359"/>
      <c r="F386" s="359"/>
      <c r="G386" s="359"/>
      <c r="H386" s="359"/>
      <c r="I386" s="359"/>
      <c r="J386" s="360"/>
    </row>
    <row r="387" spans="1:10" ht="24" thickBot="1" x14ac:dyDescent="0.25">
      <c r="A387" s="425" t="s">
        <v>165</v>
      </c>
      <c r="B387" s="426"/>
      <c r="C387" s="361" t="e">
        <f>C390</f>
        <v>#VALUE!</v>
      </c>
      <c r="D387" s="362" t="s">
        <v>166</v>
      </c>
      <c r="E387" s="427"/>
      <c r="F387" s="427"/>
      <c r="G387" s="427"/>
      <c r="H387" s="427"/>
      <c r="I387" s="427"/>
      <c r="J387" s="428"/>
    </row>
    <row r="388" spans="1:10" ht="13.5" thickBot="1" x14ac:dyDescent="0.25"/>
    <row r="389" spans="1:10" x14ac:dyDescent="0.2">
      <c r="A389" s="348"/>
      <c r="B389" s="349" t="s">
        <v>60</v>
      </c>
      <c r="C389" s="350" t="s">
        <v>96</v>
      </c>
      <c r="D389" s="350" t="s">
        <v>97</v>
      </c>
      <c r="E389" s="351" t="s">
        <v>162</v>
      </c>
      <c r="F389" s="351" t="s">
        <v>163</v>
      </c>
      <c r="G389" s="351" t="s">
        <v>164</v>
      </c>
      <c r="H389" s="351" t="s">
        <v>221</v>
      </c>
      <c r="I389" s="351" t="s">
        <v>220</v>
      </c>
      <c r="J389" s="352" t="s">
        <v>161</v>
      </c>
    </row>
    <row r="390" spans="1:10" ht="23.25" x14ac:dyDescent="0.2">
      <c r="A390" s="380" t="str">
        <f>'1-zapasy'!A134</f>
        <v>Q-4</v>
      </c>
      <c r="B390" s="356"/>
      <c r="C390" s="357" t="e">
        <f>LEFT('1-zapasy'!B134,SEARCH("(",'1-zapasy'!B134)-1)</f>
        <v>#VALUE!</v>
      </c>
      <c r="D390" s="357" t="e">
        <f>LEFT('1-zapasy'!C134,SEARCH("(",'1-zapasy'!C134)-1)</f>
        <v>#VALUE!</v>
      </c>
      <c r="E390" s="359"/>
      <c r="F390" s="359"/>
      <c r="G390" s="359"/>
      <c r="H390" s="359"/>
      <c r="I390" s="359"/>
      <c r="J390" s="360"/>
    </row>
    <row r="391" spans="1:10" ht="24" thickBot="1" x14ac:dyDescent="0.25">
      <c r="A391" s="425" t="s">
        <v>165</v>
      </c>
      <c r="B391" s="426"/>
      <c r="C391" s="361" t="e">
        <f>C386</f>
        <v>#VALUE!</v>
      </c>
      <c r="D391" s="362" t="s">
        <v>166</v>
      </c>
      <c r="E391" s="427"/>
      <c r="F391" s="427"/>
      <c r="G391" s="427"/>
      <c r="H391" s="427"/>
      <c r="I391" s="427"/>
      <c r="J391" s="428"/>
    </row>
    <row r="392" spans="1:10" ht="13.5" thickBot="1" x14ac:dyDescent="0.25">
      <c r="A392" s="367"/>
    </row>
    <row r="393" spans="1:10" x14ac:dyDescent="0.2">
      <c r="A393" s="348"/>
      <c r="B393" s="349" t="s">
        <v>60</v>
      </c>
      <c r="C393" s="350" t="s">
        <v>96</v>
      </c>
      <c r="D393" s="350" t="s">
        <v>97</v>
      </c>
      <c r="E393" s="351" t="s">
        <v>162</v>
      </c>
      <c r="F393" s="351" t="s">
        <v>163</v>
      </c>
      <c r="G393" s="351" t="s">
        <v>164</v>
      </c>
      <c r="H393" s="351" t="s">
        <v>221</v>
      </c>
      <c r="I393" s="351" t="s">
        <v>220</v>
      </c>
      <c r="J393" s="352" t="s">
        <v>161</v>
      </c>
    </row>
    <row r="394" spans="1:10" ht="23.25" x14ac:dyDescent="0.2">
      <c r="A394" s="380" t="str">
        <f>'1-zapasy'!A135</f>
        <v>Q-5</v>
      </c>
      <c r="B394" s="356"/>
      <c r="C394" s="357" t="e">
        <f>LEFT('1-zapasy'!B135,SEARCH("(",'1-zapasy'!B135)-1)</f>
        <v>#VALUE!</v>
      </c>
      <c r="D394" s="357" t="e">
        <f>LEFT('1-zapasy'!C135,SEARCH("(",'1-zapasy'!C135)-1)</f>
        <v>#VALUE!</v>
      </c>
      <c r="E394" s="359"/>
      <c r="F394" s="359"/>
      <c r="G394" s="359"/>
      <c r="H394" s="359"/>
      <c r="I394" s="359"/>
      <c r="J394" s="360"/>
    </row>
    <row r="395" spans="1:10" ht="24" thickBot="1" x14ac:dyDescent="0.25">
      <c r="A395" s="425" t="s">
        <v>165</v>
      </c>
      <c r="B395" s="426"/>
      <c r="C395" s="361" t="e">
        <f>C379</f>
        <v>#VALUE!</v>
      </c>
      <c r="D395" s="362" t="s">
        <v>166</v>
      </c>
      <c r="E395" s="427"/>
      <c r="F395" s="427"/>
      <c r="G395" s="427"/>
      <c r="H395" s="427"/>
      <c r="I395" s="427"/>
      <c r="J395" s="428"/>
    </row>
    <row r="396" spans="1:10" ht="13.5" thickBot="1" x14ac:dyDescent="0.25"/>
    <row r="397" spans="1:10" x14ac:dyDescent="0.2">
      <c r="A397" s="348"/>
      <c r="B397" s="349" t="s">
        <v>60</v>
      </c>
      <c r="C397" s="350" t="s">
        <v>96</v>
      </c>
      <c r="D397" s="350" t="s">
        <v>97</v>
      </c>
      <c r="E397" s="351" t="s">
        <v>162</v>
      </c>
      <c r="F397" s="351" t="s">
        <v>163</v>
      </c>
      <c r="G397" s="351" t="s">
        <v>164</v>
      </c>
      <c r="H397" s="351" t="s">
        <v>221</v>
      </c>
      <c r="I397" s="351" t="s">
        <v>220</v>
      </c>
      <c r="J397" s="352" t="s">
        <v>161</v>
      </c>
    </row>
    <row r="398" spans="1:10" ht="23.25" x14ac:dyDescent="0.2">
      <c r="A398" s="380" t="str">
        <f>'1-zapasy'!A136</f>
        <v>Q-6</v>
      </c>
      <c r="B398" s="356"/>
      <c r="C398" s="357" t="e">
        <f>LEFT('1-zapasy'!B136,SEARCH("(",'1-zapasy'!B136)-1)</f>
        <v>#VALUE!</v>
      </c>
      <c r="D398" s="357" t="e">
        <f>LEFT('1-zapasy'!C136,SEARCH("(",'1-zapasy'!C136)-1)</f>
        <v>#VALUE!</v>
      </c>
      <c r="E398" s="359"/>
      <c r="F398" s="359"/>
      <c r="G398" s="359"/>
      <c r="H398" s="359"/>
      <c r="I398" s="359"/>
      <c r="J398" s="360"/>
    </row>
    <row r="399" spans="1:10" ht="24" thickBot="1" x14ac:dyDescent="0.25">
      <c r="A399" s="425" t="s">
        <v>165</v>
      </c>
      <c r="B399" s="426"/>
      <c r="C399" s="361" t="e">
        <f>C387</f>
        <v>#VALUE!</v>
      </c>
      <c r="D399" s="362" t="s">
        <v>166</v>
      </c>
      <c r="E399" s="427"/>
      <c r="F399" s="427"/>
      <c r="G399" s="427"/>
      <c r="H399" s="427"/>
      <c r="I399" s="427"/>
      <c r="J399" s="428"/>
    </row>
    <row r="400" spans="1:10" ht="13.5" thickBot="1" x14ac:dyDescent="0.25">
      <c r="A400" s="367"/>
    </row>
    <row r="401" spans="1:10" x14ac:dyDescent="0.2">
      <c r="A401" s="348"/>
      <c r="B401" s="349" t="s">
        <v>60</v>
      </c>
      <c r="C401" s="350" t="s">
        <v>96</v>
      </c>
      <c r="D401" s="350" t="s">
        <v>97</v>
      </c>
      <c r="E401" s="351" t="s">
        <v>162</v>
      </c>
      <c r="F401" s="351" t="s">
        <v>163</v>
      </c>
      <c r="G401" s="351" t="s">
        <v>164</v>
      </c>
      <c r="H401" s="351" t="s">
        <v>221</v>
      </c>
      <c r="I401" s="351" t="s">
        <v>220</v>
      </c>
      <c r="J401" s="352" t="s">
        <v>161</v>
      </c>
    </row>
    <row r="402" spans="1:10" ht="23.25" x14ac:dyDescent="0.2">
      <c r="A402" s="380" t="str">
        <f>'1-zapasy'!A139</f>
        <v>R-1</v>
      </c>
      <c r="B402" s="356"/>
      <c r="C402" s="357" t="e">
        <f>LEFT('1-zapasy'!B139,SEARCH("(",'1-zapasy'!B139)-1)</f>
        <v>#VALUE!</v>
      </c>
      <c r="D402" s="357" t="e">
        <f>LEFT('1-zapasy'!C139,SEARCH("(",'1-zapasy'!C139)-1)</f>
        <v>#VALUE!</v>
      </c>
      <c r="E402" s="358"/>
      <c r="F402" s="359"/>
      <c r="G402" s="359"/>
      <c r="H402" s="359"/>
      <c r="I402" s="359"/>
      <c r="J402" s="360"/>
    </row>
    <row r="403" spans="1:10" ht="24" thickBot="1" x14ac:dyDescent="0.25">
      <c r="A403" s="425" t="s">
        <v>165</v>
      </c>
      <c r="B403" s="426"/>
      <c r="C403" s="361" t="e">
        <f>C406</f>
        <v>#VALUE!</v>
      </c>
      <c r="D403" s="362" t="s">
        <v>166</v>
      </c>
      <c r="E403" s="427"/>
      <c r="F403" s="427"/>
      <c r="G403" s="427"/>
      <c r="H403" s="427"/>
      <c r="I403" s="427"/>
      <c r="J403" s="428"/>
    </row>
    <row r="404" spans="1:10" ht="13.5" thickBot="1" x14ac:dyDescent="0.25"/>
    <row r="405" spans="1:10" x14ac:dyDescent="0.2">
      <c r="A405" s="348"/>
      <c r="B405" s="349" t="s">
        <v>60</v>
      </c>
      <c r="C405" s="350" t="s">
        <v>96</v>
      </c>
      <c r="D405" s="350" t="s">
        <v>97</v>
      </c>
      <c r="E405" s="351" t="s">
        <v>162</v>
      </c>
      <c r="F405" s="351" t="s">
        <v>163</v>
      </c>
      <c r="G405" s="351" t="s">
        <v>164</v>
      </c>
      <c r="H405" s="351" t="s">
        <v>221</v>
      </c>
      <c r="I405" s="351" t="s">
        <v>220</v>
      </c>
      <c r="J405" s="352" t="s">
        <v>161</v>
      </c>
    </row>
    <row r="406" spans="1:10" ht="23.25" x14ac:dyDescent="0.2">
      <c r="A406" s="380" t="str">
        <f>'1-zapasy'!A140</f>
        <v>R-2</v>
      </c>
      <c r="B406" s="356"/>
      <c r="C406" s="357" t="e">
        <f>LEFT('1-zapasy'!B140,SEARCH("(",'1-zapasy'!B140)-1)</f>
        <v>#VALUE!</v>
      </c>
      <c r="D406" s="357" t="e">
        <f>LEFT('1-zapasy'!C140,SEARCH("(",'1-zapasy'!C140)-1)</f>
        <v>#VALUE!</v>
      </c>
      <c r="E406" s="359"/>
      <c r="F406" s="359"/>
      <c r="G406" s="359"/>
      <c r="H406" s="359"/>
      <c r="I406" s="359"/>
      <c r="J406" s="360"/>
    </row>
    <row r="407" spans="1:10" ht="24" thickBot="1" x14ac:dyDescent="0.25">
      <c r="A407" s="425" t="s">
        <v>165</v>
      </c>
      <c r="B407" s="426"/>
      <c r="C407" s="361" t="e">
        <f>C402</f>
        <v>#VALUE!</v>
      </c>
      <c r="D407" s="362" t="s">
        <v>166</v>
      </c>
      <c r="E407" s="427"/>
      <c r="F407" s="427"/>
      <c r="G407" s="427"/>
      <c r="H407" s="427"/>
      <c r="I407" s="427"/>
      <c r="J407" s="428"/>
    </row>
    <row r="408" spans="1:10" ht="13.5" thickBot="1" x14ac:dyDescent="0.25">
      <c r="A408" s="367"/>
    </row>
    <row r="409" spans="1:10" x14ac:dyDescent="0.2">
      <c r="A409" s="348"/>
      <c r="B409" s="349" t="s">
        <v>60</v>
      </c>
      <c r="C409" s="350" t="s">
        <v>96</v>
      </c>
      <c r="D409" s="350" t="s">
        <v>97</v>
      </c>
      <c r="E409" s="351" t="s">
        <v>162</v>
      </c>
      <c r="F409" s="351" t="s">
        <v>163</v>
      </c>
      <c r="G409" s="351" t="s">
        <v>164</v>
      </c>
      <c r="H409" s="351" t="s">
        <v>221</v>
      </c>
      <c r="I409" s="351" t="s">
        <v>220</v>
      </c>
      <c r="J409" s="352" t="s">
        <v>161</v>
      </c>
    </row>
    <row r="410" spans="1:10" ht="23.25" x14ac:dyDescent="0.2">
      <c r="A410" s="380" t="str">
        <f>'1-zapasy'!A141</f>
        <v>R-3</v>
      </c>
      <c r="B410" s="356"/>
      <c r="C410" s="357" t="e">
        <f>LEFT('1-zapasy'!B141,SEARCH("(",'1-zapasy'!B141)-1)</f>
        <v>#VALUE!</v>
      </c>
      <c r="D410" s="357" t="e">
        <f>LEFT('1-zapasy'!C141,SEARCH("(",'1-zapasy'!C141)-1)</f>
        <v>#VALUE!</v>
      </c>
      <c r="E410" s="359"/>
      <c r="F410" s="359"/>
      <c r="G410" s="359"/>
      <c r="H410" s="359"/>
      <c r="I410" s="359"/>
      <c r="J410" s="360"/>
    </row>
    <row r="411" spans="1:10" ht="24" thickBot="1" x14ac:dyDescent="0.25">
      <c r="A411" s="425" t="s">
        <v>165</v>
      </c>
      <c r="B411" s="426"/>
      <c r="C411" s="361" t="e">
        <f>C398</f>
        <v>#VALUE!</v>
      </c>
      <c r="D411" s="362" t="s">
        <v>166</v>
      </c>
      <c r="E411" s="427"/>
      <c r="F411" s="427"/>
      <c r="G411" s="427"/>
      <c r="H411" s="427"/>
      <c r="I411" s="427"/>
      <c r="J411" s="428"/>
    </row>
    <row r="412" spans="1:10" ht="13.5" thickBot="1" x14ac:dyDescent="0.25">
      <c r="A412" s="367"/>
    </row>
    <row r="413" spans="1:10" x14ac:dyDescent="0.2">
      <c r="A413" s="348"/>
      <c r="B413" s="349" t="s">
        <v>60</v>
      </c>
      <c r="C413" s="350" t="s">
        <v>96</v>
      </c>
      <c r="D413" s="350" t="s">
        <v>97</v>
      </c>
      <c r="E413" s="351" t="s">
        <v>162</v>
      </c>
      <c r="F413" s="351" t="s">
        <v>163</v>
      </c>
      <c r="G413" s="351" t="s">
        <v>164</v>
      </c>
      <c r="H413" s="351" t="s">
        <v>221</v>
      </c>
      <c r="I413" s="351" t="s">
        <v>220</v>
      </c>
      <c r="J413" s="352" t="s">
        <v>161</v>
      </c>
    </row>
    <row r="414" spans="1:10" ht="23.25" x14ac:dyDescent="0.2">
      <c r="A414" s="380" t="str">
        <f>'1-zapasy'!A142</f>
        <v>R-4</v>
      </c>
      <c r="B414" s="356"/>
      <c r="C414" s="357" t="e">
        <f>LEFT('1-zapasy'!B142,SEARCH("(",'1-zapasy'!B142)-1)</f>
        <v>#VALUE!</v>
      </c>
      <c r="D414" s="357" t="e">
        <f>LEFT('1-zapasy'!C142,SEARCH("(",'1-zapasy'!C142)-1)</f>
        <v>#VALUE!</v>
      </c>
      <c r="E414" s="359"/>
      <c r="F414" s="359"/>
      <c r="G414" s="359"/>
      <c r="H414" s="359"/>
      <c r="I414" s="359"/>
      <c r="J414" s="360"/>
    </row>
    <row r="415" spans="1:10" ht="24" thickBot="1" x14ac:dyDescent="0.25">
      <c r="A415" s="425" t="s">
        <v>165</v>
      </c>
      <c r="B415" s="426"/>
      <c r="C415" s="361" t="e">
        <f>C410</f>
        <v>#VALUE!</v>
      </c>
      <c r="D415" s="362" t="s">
        <v>166</v>
      </c>
      <c r="E415" s="427"/>
      <c r="F415" s="427"/>
      <c r="G415" s="427"/>
      <c r="H415" s="427"/>
      <c r="I415" s="427"/>
      <c r="J415" s="428"/>
    </row>
    <row r="416" spans="1:10" ht="13.5" thickBot="1" x14ac:dyDescent="0.25">
      <c r="A416" s="367"/>
    </row>
    <row r="417" spans="1:10" x14ac:dyDescent="0.2">
      <c r="A417" s="348"/>
      <c r="B417" s="349" t="s">
        <v>60</v>
      </c>
      <c r="C417" s="350" t="s">
        <v>96</v>
      </c>
      <c r="D417" s="350" t="s">
        <v>97</v>
      </c>
      <c r="E417" s="351" t="s">
        <v>162</v>
      </c>
      <c r="F417" s="351" t="s">
        <v>163</v>
      </c>
      <c r="G417" s="351" t="s">
        <v>164</v>
      </c>
      <c r="H417" s="351" t="s">
        <v>221</v>
      </c>
      <c r="I417" s="351" t="s">
        <v>220</v>
      </c>
      <c r="J417" s="352" t="s">
        <v>161</v>
      </c>
    </row>
    <row r="418" spans="1:10" ht="23.25" x14ac:dyDescent="0.2">
      <c r="A418" s="380" t="str">
        <f>'1-zapasy'!A143</f>
        <v>R-5</v>
      </c>
      <c r="B418" s="356"/>
      <c r="C418" s="357" t="e">
        <f>LEFT('1-zapasy'!B143,SEARCH("(",'1-zapasy'!B143)-1)</f>
        <v>#VALUE!</v>
      </c>
      <c r="D418" s="357" t="e">
        <f>LEFT('1-zapasy'!C143,SEARCH("(",'1-zapasy'!C143)-1)</f>
        <v>#VALUE!</v>
      </c>
      <c r="E418" s="359"/>
      <c r="F418" s="359"/>
      <c r="G418" s="359"/>
      <c r="H418" s="359"/>
      <c r="I418" s="359"/>
      <c r="J418" s="360"/>
    </row>
    <row r="419" spans="1:10" ht="24" thickBot="1" x14ac:dyDescent="0.25">
      <c r="A419" s="425" t="s">
        <v>165</v>
      </c>
      <c r="B419" s="426"/>
      <c r="C419" s="361" t="e">
        <f>C403</f>
        <v>#VALUE!</v>
      </c>
      <c r="D419" s="362" t="s">
        <v>166</v>
      </c>
      <c r="E419" s="427"/>
      <c r="F419" s="427"/>
      <c r="G419" s="427"/>
      <c r="H419" s="427"/>
      <c r="I419" s="427"/>
      <c r="J419" s="428"/>
    </row>
    <row r="420" spans="1:10" ht="13.5" thickBot="1" x14ac:dyDescent="0.25"/>
    <row r="421" spans="1:10" x14ac:dyDescent="0.2">
      <c r="A421" s="348"/>
      <c r="B421" s="349" t="s">
        <v>60</v>
      </c>
      <c r="C421" s="350" t="s">
        <v>96</v>
      </c>
      <c r="D421" s="350" t="s">
        <v>97</v>
      </c>
      <c r="E421" s="351" t="s">
        <v>162</v>
      </c>
      <c r="F421" s="351" t="s">
        <v>163</v>
      </c>
      <c r="G421" s="351" t="s">
        <v>164</v>
      </c>
      <c r="H421" s="351" t="s">
        <v>221</v>
      </c>
      <c r="I421" s="351" t="s">
        <v>220</v>
      </c>
      <c r="J421" s="352" t="s">
        <v>161</v>
      </c>
    </row>
    <row r="422" spans="1:10" ht="23.25" x14ac:dyDescent="0.2">
      <c r="A422" s="380" t="str">
        <f>'1-zapasy'!A144</f>
        <v>R-6</v>
      </c>
      <c r="B422" s="356"/>
      <c r="C422" s="357" t="e">
        <f>LEFT('1-zapasy'!B144,SEARCH("(",'1-zapasy'!B144)-1)</f>
        <v>#VALUE!</v>
      </c>
      <c r="D422" s="357" t="e">
        <f>LEFT('1-zapasy'!C144,SEARCH("(",'1-zapasy'!C144)-1)</f>
        <v>#VALUE!</v>
      </c>
      <c r="E422" s="359"/>
      <c r="F422" s="359"/>
      <c r="G422" s="359"/>
      <c r="H422" s="359"/>
      <c r="I422" s="359"/>
      <c r="J422" s="360"/>
    </row>
    <row r="423" spans="1:10" ht="24" thickBot="1" x14ac:dyDescent="0.25">
      <c r="A423" s="425" t="s">
        <v>165</v>
      </c>
      <c r="B423" s="426"/>
      <c r="C423" s="361" t="e">
        <f>C411</f>
        <v>#VALUE!</v>
      </c>
      <c r="D423" s="362" t="s">
        <v>166</v>
      </c>
      <c r="E423" s="427"/>
      <c r="F423" s="427"/>
      <c r="G423" s="427"/>
      <c r="H423" s="427"/>
      <c r="I423" s="427"/>
      <c r="J423" s="428"/>
    </row>
    <row r="424" spans="1:10" x14ac:dyDescent="0.2">
      <c r="A424" s="348"/>
      <c r="B424" s="349" t="s">
        <v>60</v>
      </c>
      <c r="C424" s="350" t="s">
        <v>96</v>
      </c>
      <c r="D424" s="350" t="s">
        <v>97</v>
      </c>
      <c r="E424" s="351" t="s">
        <v>162</v>
      </c>
      <c r="F424" s="351" t="s">
        <v>163</v>
      </c>
      <c r="G424" s="351" t="s">
        <v>164</v>
      </c>
      <c r="H424" s="351" t="s">
        <v>221</v>
      </c>
      <c r="I424" s="351" t="s">
        <v>220</v>
      </c>
      <c r="J424" s="352" t="s">
        <v>161</v>
      </c>
    </row>
    <row r="425" spans="1:10" ht="23.25" x14ac:dyDescent="0.2">
      <c r="A425" s="380" t="str">
        <f>'1-zapasy'!A147</f>
        <v>S-1</v>
      </c>
      <c r="B425" s="356"/>
      <c r="C425" s="357" t="e">
        <f>LEFT('1-zapasy'!B147,SEARCH("(",'1-zapasy'!B147)-1)</f>
        <v>#VALUE!</v>
      </c>
      <c r="D425" s="357" t="e">
        <f>LEFT('1-zapasy'!C147,SEARCH("(",'1-zapasy'!C147)-1)</f>
        <v>#VALUE!</v>
      </c>
      <c r="E425" s="358"/>
      <c r="F425" s="359"/>
      <c r="G425" s="359"/>
      <c r="H425" s="359"/>
      <c r="I425" s="359"/>
      <c r="J425" s="360"/>
    </row>
    <row r="426" spans="1:10" ht="24" thickBot="1" x14ac:dyDescent="0.25">
      <c r="A426" s="425" t="s">
        <v>165</v>
      </c>
      <c r="B426" s="426"/>
      <c r="C426" s="361" t="e">
        <f>C429</f>
        <v>#VALUE!</v>
      </c>
      <c r="D426" s="362" t="s">
        <v>166</v>
      </c>
      <c r="E426" s="427"/>
      <c r="F426" s="427"/>
      <c r="G426" s="427"/>
      <c r="H426" s="427"/>
      <c r="I426" s="427"/>
      <c r="J426" s="428"/>
    </row>
    <row r="427" spans="1:10" ht="13.5" thickBot="1" x14ac:dyDescent="0.25"/>
    <row r="428" spans="1:10" x14ac:dyDescent="0.2">
      <c r="A428" s="348"/>
      <c r="B428" s="349" t="s">
        <v>60</v>
      </c>
      <c r="C428" s="350" t="s">
        <v>96</v>
      </c>
      <c r="D428" s="350" t="s">
        <v>97</v>
      </c>
      <c r="E428" s="351" t="s">
        <v>162</v>
      </c>
      <c r="F428" s="351" t="s">
        <v>163</v>
      </c>
      <c r="G428" s="351" t="s">
        <v>164</v>
      </c>
      <c r="H428" s="351" t="s">
        <v>221</v>
      </c>
      <c r="I428" s="351" t="s">
        <v>220</v>
      </c>
      <c r="J428" s="352" t="s">
        <v>161</v>
      </c>
    </row>
    <row r="429" spans="1:10" ht="23.25" x14ac:dyDescent="0.2">
      <c r="A429" s="380" t="str">
        <f>'1-zapasy'!A148</f>
        <v>S-2</v>
      </c>
      <c r="B429" s="356"/>
      <c r="C429" s="357" t="e">
        <f>LEFT('1-zapasy'!B148,SEARCH("(",'1-zapasy'!B148)-1)</f>
        <v>#VALUE!</v>
      </c>
      <c r="D429" s="357" t="e">
        <f>LEFT('1-zapasy'!C148,SEARCH("(",'1-zapasy'!C148)-1)</f>
        <v>#VALUE!</v>
      </c>
      <c r="E429" s="359"/>
      <c r="F429" s="359"/>
      <c r="G429" s="359"/>
      <c r="H429" s="359"/>
      <c r="I429" s="359"/>
      <c r="J429" s="360"/>
    </row>
    <row r="430" spans="1:10" ht="24" thickBot="1" x14ac:dyDescent="0.25">
      <c r="A430" s="425" t="s">
        <v>165</v>
      </c>
      <c r="B430" s="426"/>
      <c r="C430" s="361" t="e">
        <f>C425</f>
        <v>#VALUE!</v>
      </c>
      <c r="D430" s="362" t="s">
        <v>166</v>
      </c>
      <c r="E430" s="427"/>
      <c r="F430" s="427"/>
      <c r="G430" s="427"/>
      <c r="H430" s="427"/>
      <c r="I430" s="427"/>
      <c r="J430" s="428"/>
    </row>
    <row r="431" spans="1:10" ht="13.5" thickBot="1" x14ac:dyDescent="0.25">
      <c r="A431" s="367"/>
    </row>
    <row r="432" spans="1:10" x14ac:dyDescent="0.2">
      <c r="A432" s="348"/>
      <c r="B432" s="349" t="s">
        <v>60</v>
      </c>
      <c r="C432" s="350" t="s">
        <v>96</v>
      </c>
      <c r="D432" s="350" t="s">
        <v>97</v>
      </c>
      <c r="E432" s="351" t="s">
        <v>162</v>
      </c>
      <c r="F432" s="351" t="s">
        <v>163</v>
      </c>
      <c r="G432" s="351" t="s">
        <v>164</v>
      </c>
      <c r="H432" s="351" t="s">
        <v>221</v>
      </c>
      <c r="I432" s="351" t="s">
        <v>220</v>
      </c>
      <c r="J432" s="352" t="s">
        <v>161</v>
      </c>
    </row>
    <row r="433" spans="1:10" ht="23.25" x14ac:dyDescent="0.2">
      <c r="A433" s="380" t="str">
        <f>'1-zapasy'!A149</f>
        <v>S-3</v>
      </c>
      <c r="B433" s="356"/>
      <c r="C433" s="357" t="e">
        <f>LEFT('1-zapasy'!B149,SEARCH("(",'1-zapasy'!B149)-1)</f>
        <v>#VALUE!</v>
      </c>
      <c r="D433" s="357" t="e">
        <f>LEFT('1-zapasy'!C149,SEARCH("(",'1-zapasy'!C149)-1)</f>
        <v>#VALUE!</v>
      </c>
      <c r="E433" s="359"/>
      <c r="F433" s="359"/>
      <c r="G433" s="359"/>
      <c r="H433" s="359"/>
      <c r="I433" s="359"/>
      <c r="J433" s="360"/>
    </row>
    <row r="434" spans="1:10" ht="24" thickBot="1" x14ac:dyDescent="0.25">
      <c r="A434" s="425" t="s">
        <v>165</v>
      </c>
      <c r="B434" s="426"/>
      <c r="C434" s="361" t="e">
        <f>C437</f>
        <v>#VALUE!</v>
      </c>
      <c r="D434" s="362" t="s">
        <v>166</v>
      </c>
      <c r="E434" s="427"/>
      <c r="F434" s="427"/>
      <c r="G434" s="427"/>
      <c r="H434" s="427"/>
      <c r="I434" s="427"/>
      <c r="J434" s="428"/>
    </row>
    <row r="435" spans="1:10" ht="13.5" thickBot="1" x14ac:dyDescent="0.25"/>
    <row r="436" spans="1:10" x14ac:dyDescent="0.2">
      <c r="A436" s="348"/>
      <c r="B436" s="349" t="s">
        <v>60</v>
      </c>
      <c r="C436" s="350" t="s">
        <v>96</v>
      </c>
      <c r="D436" s="350" t="s">
        <v>97</v>
      </c>
      <c r="E436" s="351" t="s">
        <v>162</v>
      </c>
      <c r="F436" s="351" t="s">
        <v>163</v>
      </c>
      <c r="G436" s="351" t="s">
        <v>164</v>
      </c>
      <c r="H436" s="351" t="s">
        <v>221</v>
      </c>
      <c r="I436" s="351" t="s">
        <v>220</v>
      </c>
      <c r="J436" s="352" t="s">
        <v>161</v>
      </c>
    </row>
    <row r="437" spans="1:10" ht="23.25" x14ac:dyDescent="0.2">
      <c r="A437" s="380" t="str">
        <f>'1-zapasy'!A150</f>
        <v>S-4</v>
      </c>
      <c r="B437" s="356"/>
      <c r="C437" s="357" t="e">
        <f>LEFT('1-zapasy'!B150,SEARCH("(",'1-zapasy'!B150)-1)</f>
        <v>#VALUE!</v>
      </c>
      <c r="D437" s="357" t="e">
        <f>LEFT('1-zapasy'!C150,SEARCH("(",'1-zapasy'!C150)-1)</f>
        <v>#VALUE!</v>
      </c>
      <c r="E437" s="359"/>
      <c r="F437" s="359"/>
      <c r="G437" s="359"/>
      <c r="H437" s="359"/>
      <c r="I437" s="359"/>
      <c r="J437" s="360"/>
    </row>
    <row r="438" spans="1:10" ht="24" thickBot="1" x14ac:dyDescent="0.25">
      <c r="A438" s="425" t="s">
        <v>165</v>
      </c>
      <c r="B438" s="426"/>
      <c r="C438" s="361" t="e">
        <f>C433</f>
        <v>#VALUE!</v>
      </c>
      <c r="D438" s="362" t="s">
        <v>166</v>
      </c>
      <c r="E438" s="427"/>
      <c r="F438" s="427"/>
      <c r="G438" s="427"/>
      <c r="H438" s="427"/>
      <c r="I438" s="427"/>
      <c r="J438" s="428"/>
    </row>
    <row r="439" spans="1:10" ht="13.5" thickBot="1" x14ac:dyDescent="0.25">
      <c r="A439" s="367"/>
    </row>
    <row r="440" spans="1:10" x14ac:dyDescent="0.2">
      <c r="A440" s="348"/>
      <c r="B440" s="349" t="s">
        <v>60</v>
      </c>
      <c r="C440" s="350" t="s">
        <v>96</v>
      </c>
      <c r="D440" s="350" t="s">
        <v>97</v>
      </c>
      <c r="E440" s="351" t="s">
        <v>162</v>
      </c>
      <c r="F440" s="351" t="s">
        <v>163</v>
      </c>
      <c r="G440" s="351" t="s">
        <v>164</v>
      </c>
      <c r="H440" s="351" t="s">
        <v>221</v>
      </c>
      <c r="I440" s="351" t="s">
        <v>220</v>
      </c>
      <c r="J440" s="352" t="s">
        <v>161</v>
      </c>
    </row>
    <row r="441" spans="1:10" ht="23.25" x14ac:dyDescent="0.2">
      <c r="A441" s="380" t="str">
        <f>'1-zapasy'!A151</f>
        <v>S-5</v>
      </c>
      <c r="B441" s="356"/>
      <c r="C441" s="357" t="e">
        <f>LEFT('1-zapasy'!B151,SEARCH("(",'1-zapasy'!B151)-1)</f>
        <v>#VALUE!</v>
      </c>
      <c r="D441" s="357" t="e">
        <f>LEFT('1-zapasy'!C151,SEARCH("(",'1-zapasy'!C151)-1)</f>
        <v>#VALUE!</v>
      </c>
      <c r="E441" s="359"/>
      <c r="F441" s="359"/>
      <c r="G441" s="359"/>
      <c r="H441" s="359"/>
      <c r="I441" s="359"/>
      <c r="J441" s="360"/>
    </row>
    <row r="442" spans="1:10" ht="24" thickBot="1" x14ac:dyDescent="0.25">
      <c r="A442" s="425" t="s">
        <v>165</v>
      </c>
      <c r="B442" s="426"/>
      <c r="C442" s="361" t="e">
        <f>C426</f>
        <v>#VALUE!</v>
      </c>
      <c r="D442" s="362" t="s">
        <v>166</v>
      </c>
      <c r="E442" s="427"/>
      <c r="F442" s="427"/>
      <c r="G442" s="427"/>
      <c r="H442" s="427"/>
      <c r="I442" s="427"/>
      <c r="J442" s="428"/>
    </row>
    <row r="443" spans="1:10" ht="13.5" thickBot="1" x14ac:dyDescent="0.25"/>
    <row r="444" spans="1:10" x14ac:dyDescent="0.2">
      <c r="A444" s="348"/>
      <c r="B444" s="349" t="s">
        <v>60</v>
      </c>
      <c r="C444" s="350" t="s">
        <v>96</v>
      </c>
      <c r="D444" s="350" t="s">
        <v>97</v>
      </c>
      <c r="E444" s="351" t="s">
        <v>162</v>
      </c>
      <c r="F444" s="351" t="s">
        <v>163</v>
      </c>
      <c r="G444" s="351" t="s">
        <v>164</v>
      </c>
      <c r="H444" s="351" t="s">
        <v>221</v>
      </c>
      <c r="I444" s="351" t="s">
        <v>220</v>
      </c>
      <c r="J444" s="352" t="s">
        <v>161</v>
      </c>
    </row>
    <row r="445" spans="1:10" ht="23.25" x14ac:dyDescent="0.2">
      <c r="A445" s="380" t="str">
        <f>'1-zapasy'!A152</f>
        <v>S-6</v>
      </c>
      <c r="B445" s="356"/>
      <c r="C445" s="357" t="e">
        <f>LEFT('1-zapasy'!B152,SEARCH("(",'1-zapasy'!B152)-1)</f>
        <v>#VALUE!</v>
      </c>
      <c r="D445" s="357" t="e">
        <f>LEFT('1-zapasy'!C152,SEARCH("(",'1-zapasy'!C152)-1)</f>
        <v>#VALUE!</v>
      </c>
      <c r="E445" s="359"/>
      <c r="F445" s="359"/>
      <c r="G445" s="359"/>
      <c r="H445" s="359"/>
      <c r="I445" s="359"/>
      <c r="J445" s="360"/>
    </row>
    <row r="446" spans="1:10" ht="24" thickBot="1" x14ac:dyDescent="0.25">
      <c r="A446" s="425" t="s">
        <v>165</v>
      </c>
      <c r="B446" s="426"/>
      <c r="C446" s="361" t="e">
        <f>C434</f>
        <v>#VALUE!</v>
      </c>
      <c r="D446" s="362" t="s">
        <v>166</v>
      </c>
      <c r="E446" s="427"/>
      <c r="F446" s="427"/>
      <c r="G446" s="427"/>
      <c r="H446" s="427"/>
      <c r="I446" s="427"/>
      <c r="J446" s="428"/>
    </row>
    <row r="447" spans="1:10" ht="13.5" thickBot="1" x14ac:dyDescent="0.25">
      <c r="A447" s="367"/>
    </row>
    <row r="448" spans="1:10" x14ac:dyDescent="0.2">
      <c r="A448" s="348"/>
      <c r="B448" s="349" t="s">
        <v>60</v>
      </c>
      <c r="C448" s="350" t="s">
        <v>96</v>
      </c>
      <c r="D448" s="350" t="s">
        <v>97</v>
      </c>
      <c r="E448" s="351" t="s">
        <v>162</v>
      </c>
      <c r="F448" s="351" t="s">
        <v>163</v>
      </c>
      <c r="G448" s="351" t="s">
        <v>164</v>
      </c>
      <c r="H448" s="351" t="s">
        <v>221</v>
      </c>
      <c r="I448" s="351" t="s">
        <v>220</v>
      </c>
      <c r="J448" s="352" t="s">
        <v>161</v>
      </c>
    </row>
    <row r="449" spans="1:10" ht="23.25" x14ac:dyDescent="0.2">
      <c r="A449" s="380" t="str">
        <f>'1-zapasy'!A155</f>
        <v>T-1</v>
      </c>
      <c r="B449" s="356"/>
      <c r="C449" s="357" t="e">
        <f>LEFT('1-zapasy'!B155,SEARCH("(",'1-zapasy'!B155)-1)</f>
        <v>#VALUE!</v>
      </c>
      <c r="D449" s="357" t="e">
        <f>LEFT('1-zapasy'!C155,SEARCH("(",'1-zapasy'!C155)-1)</f>
        <v>#VALUE!</v>
      </c>
      <c r="E449" s="358"/>
      <c r="F449" s="359"/>
      <c r="G449" s="359"/>
      <c r="H449" s="359"/>
      <c r="I449" s="359"/>
      <c r="J449" s="360"/>
    </row>
    <row r="450" spans="1:10" ht="24" thickBot="1" x14ac:dyDescent="0.25">
      <c r="A450" s="425" t="s">
        <v>165</v>
      </c>
      <c r="B450" s="426"/>
      <c r="C450" s="361" t="e">
        <f>C453</f>
        <v>#VALUE!</v>
      </c>
      <c r="D450" s="362" t="s">
        <v>166</v>
      </c>
      <c r="E450" s="427"/>
      <c r="F450" s="427"/>
      <c r="G450" s="427"/>
      <c r="H450" s="427"/>
      <c r="I450" s="427"/>
      <c r="J450" s="428"/>
    </row>
    <row r="451" spans="1:10" ht="13.5" thickBot="1" x14ac:dyDescent="0.25"/>
    <row r="452" spans="1:10" x14ac:dyDescent="0.2">
      <c r="A452" s="348"/>
      <c r="B452" s="349" t="s">
        <v>60</v>
      </c>
      <c r="C452" s="350" t="s">
        <v>96</v>
      </c>
      <c r="D452" s="350" t="s">
        <v>97</v>
      </c>
      <c r="E452" s="351" t="s">
        <v>162</v>
      </c>
      <c r="F452" s="351" t="s">
        <v>163</v>
      </c>
      <c r="G452" s="351" t="s">
        <v>164</v>
      </c>
      <c r="H452" s="351" t="s">
        <v>221</v>
      </c>
      <c r="I452" s="351" t="s">
        <v>220</v>
      </c>
      <c r="J452" s="352" t="s">
        <v>161</v>
      </c>
    </row>
    <row r="453" spans="1:10" ht="23.25" x14ac:dyDescent="0.2">
      <c r="A453" s="380" t="str">
        <f>'1-zapasy'!A156</f>
        <v>T-2</v>
      </c>
      <c r="B453" s="356"/>
      <c r="C453" s="357" t="e">
        <f>LEFT('1-zapasy'!B156,SEARCH("(",'1-zapasy'!B156)-1)</f>
        <v>#VALUE!</v>
      </c>
      <c r="D453" s="357" t="e">
        <f>LEFT('1-zapasy'!C156,SEARCH("(",'1-zapasy'!C156)-1)</f>
        <v>#VALUE!</v>
      </c>
      <c r="E453" s="359"/>
      <c r="F453" s="359"/>
      <c r="G453" s="359"/>
      <c r="H453" s="359"/>
      <c r="I453" s="359"/>
      <c r="J453" s="360"/>
    </row>
    <row r="454" spans="1:10" ht="24" thickBot="1" x14ac:dyDescent="0.25">
      <c r="A454" s="425" t="s">
        <v>165</v>
      </c>
      <c r="B454" s="426"/>
      <c r="C454" s="361" t="e">
        <f>C449</f>
        <v>#VALUE!</v>
      </c>
      <c r="D454" s="362" t="s">
        <v>166</v>
      </c>
      <c r="E454" s="427"/>
      <c r="F454" s="427"/>
      <c r="G454" s="427"/>
      <c r="H454" s="427"/>
      <c r="I454" s="427"/>
      <c r="J454" s="428"/>
    </row>
    <row r="455" spans="1:10" ht="13.5" thickBot="1" x14ac:dyDescent="0.25">
      <c r="A455" s="367"/>
    </row>
    <row r="456" spans="1:10" x14ac:dyDescent="0.2">
      <c r="A456" s="348"/>
      <c r="B456" s="349" t="s">
        <v>60</v>
      </c>
      <c r="C456" s="350" t="s">
        <v>96</v>
      </c>
      <c r="D456" s="350" t="s">
        <v>97</v>
      </c>
      <c r="E456" s="351" t="s">
        <v>162</v>
      </c>
      <c r="F456" s="351" t="s">
        <v>163</v>
      </c>
      <c r="G456" s="351" t="s">
        <v>164</v>
      </c>
      <c r="H456" s="351" t="s">
        <v>221</v>
      </c>
      <c r="I456" s="351" t="s">
        <v>220</v>
      </c>
      <c r="J456" s="352" t="s">
        <v>161</v>
      </c>
    </row>
    <row r="457" spans="1:10" ht="23.25" x14ac:dyDescent="0.2">
      <c r="A457" s="380" t="str">
        <f>'1-zapasy'!A157</f>
        <v>T-3</v>
      </c>
      <c r="B457" s="356"/>
      <c r="C457" s="357" t="e">
        <f>LEFT('1-zapasy'!B157,SEARCH("(",'1-zapasy'!B157)-1)</f>
        <v>#VALUE!</v>
      </c>
      <c r="D457" s="357" t="e">
        <f>LEFT('1-zapasy'!C157,SEARCH("(",'1-zapasy'!C157)-1)</f>
        <v>#VALUE!</v>
      </c>
      <c r="E457" s="359"/>
      <c r="F457" s="359"/>
      <c r="G457" s="359"/>
      <c r="H457" s="359"/>
      <c r="I457" s="359"/>
      <c r="J457" s="360"/>
    </row>
    <row r="458" spans="1:10" ht="24" thickBot="1" x14ac:dyDescent="0.25">
      <c r="A458" s="425" t="s">
        <v>165</v>
      </c>
      <c r="B458" s="426"/>
      <c r="C458" s="361" t="e">
        <f>C461</f>
        <v>#VALUE!</v>
      </c>
      <c r="D458" s="362" t="s">
        <v>166</v>
      </c>
      <c r="E458" s="427"/>
      <c r="F458" s="427"/>
      <c r="G458" s="427"/>
      <c r="H458" s="427"/>
      <c r="I458" s="427"/>
      <c r="J458" s="428"/>
    </row>
    <row r="459" spans="1:10" ht="13.5" thickBot="1" x14ac:dyDescent="0.25">
      <c r="A459" s="367"/>
    </row>
    <row r="460" spans="1:10" x14ac:dyDescent="0.2">
      <c r="A460" s="348"/>
      <c r="B460" s="349" t="s">
        <v>60</v>
      </c>
      <c r="C460" s="350" t="s">
        <v>96</v>
      </c>
      <c r="D460" s="350" t="s">
        <v>97</v>
      </c>
      <c r="E460" s="351" t="s">
        <v>162</v>
      </c>
      <c r="F460" s="351" t="s">
        <v>163</v>
      </c>
      <c r="G460" s="351" t="s">
        <v>164</v>
      </c>
      <c r="H460" s="351" t="s">
        <v>221</v>
      </c>
      <c r="I460" s="351" t="s">
        <v>220</v>
      </c>
      <c r="J460" s="352" t="s">
        <v>161</v>
      </c>
    </row>
    <row r="461" spans="1:10" ht="23.25" x14ac:dyDescent="0.2">
      <c r="A461" s="380" t="str">
        <f>'1-zapasy'!A158</f>
        <v>T-4</v>
      </c>
      <c r="B461" s="356"/>
      <c r="C461" s="357" t="e">
        <f>LEFT('1-zapasy'!B158,SEARCH("(",'1-zapasy'!B158)-1)</f>
        <v>#VALUE!</v>
      </c>
      <c r="D461" s="357" t="e">
        <f>LEFT('1-zapasy'!C158,SEARCH("(",'1-zapasy'!C158)-1)</f>
        <v>#VALUE!</v>
      </c>
      <c r="E461" s="359"/>
      <c r="F461" s="359"/>
      <c r="G461" s="359"/>
      <c r="H461" s="359"/>
      <c r="I461" s="359"/>
      <c r="J461" s="360"/>
    </row>
    <row r="462" spans="1:10" ht="24" thickBot="1" x14ac:dyDescent="0.25">
      <c r="A462" s="425" t="s">
        <v>165</v>
      </c>
      <c r="B462" s="426"/>
      <c r="C462" s="361" t="e">
        <f>C457</f>
        <v>#VALUE!</v>
      </c>
      <c r="D462" s="362" t="s">
        <v>166</v>
      </c>
      <c r="E462" s="427"/>
      <c r="F462" s="427"/>
      <c r="G462" s="427"/>
      <c r="H462" s="427"/>
      <c r="I462" s="427"/>
      <c r="J462" s="428"/>
    </row>
    <row r="463" spans="1:10" ht="13.5" thickBot="1" x14ac:dyDescent="0.25">
      <c r="A463" s="367"/>
    </row>
    <row r="464" spans="1:10" x14ac:dyDescent="0.2">
      <c r="A464" s="348"/>
      <c r="B464" s="349" t="s">
        <v>60</v>
      </c>
      <c r="C464" s="350" t="s">
        <v>96</v>
      </c>
      <c r="D464" s="350" t="s">
        <v>97</v>
      </c>
      <c r="E464" s="351" t="s">
        <v>162</v>
      </c>
      <c r="F464" s="351" t="s">
        <v>163</v>
      </c>
      <c r="G464" s="351" t="s">
        <v>164</v>
      </c>
      <c r="H464" s="351" t="s">
        <v>221</v>
      </c>
      <c r="I464" s="351" t="s">
        <v>220</v>
      </c>
      <c r="J464" s="352" t="s">
        <v>161</v>
      </c>
    </row>
    <row r="465" spans="1:10" ht="23.25" x14ac:dyDescent="0.2">
      <c r="A465" s="380" t="str">
        <f>'1-zapasy'!A159</f>
        <v>T-5</v>
      </c>
      <c r="B465" s="356"/>
      <c r="C465" s="357" t="e">
        <f>LEFT('1-zapasy'!B159,SEARCH("(",'1-zapasy'!B159)-1)</f>
        <v>#VALUE!</v>
      </c>
      <c r="D465" s="357" t="e">
        <f>LEFT('1-zapasy'!C159,SEARCH("(",'1-zapasy'!C159)-1)</f>
        <v>#VALUE!</v>
      </c>
      <c r="E465" s="359"/>
      <c r="F465" s="359"/>
      <c r="G465" s="359"/>
      <c r="H465" s="359"/>
      <c r="I465" s="359"/>
      <c r="J465" s="360"/>
    </row>
    <row r="466" spans="1:10" ht="24" thickBot="1" x14ac:dyDescent="0.25">
      <c r="A466" s="425" t="s">
        <v>165</v>
      </c>
      <c r="B466" s="426"/>
      <c r="C466" s="361" t="e">
        <f>C450</f>
        <v>#VALUE!</v>
      </c>
      <c r="D466" s="362" t="s">
        <v>166</v>
      </c>
      <c r="E466" s="427"/>
      <c r="F466" s="427"/>
      <c r="G466" s="427"/>
      <c r="H466" s="427"/>
      <c r="I466" s="427"/>
      <c r="J466" s="428"/>
    </row>
    <row r="467" spans="1:10" ht="13.5" thickBot="1" x14ac:dyDescent="0.25"/>
    <row r="468" spans="1:10" x14ac:dyDescent="0.2">
      <c r="A468" s="348"/>
      <c r="B468" s="349" t="s">
        <v>60</v>
      </c>
      <c r="C468" s="350" t="s">
        <v>96</v>
      </c>
      <c r="D468" s="350" t="s">
        <v>97</v>
      </c>
      <c r="E468" s="351" t="s">
        <v>162</v>
      </c>
      <c r="F468" s="351" t="s">
        <v>163</v>
      </c>
      <c r="G468" s="351" t="s">
        <v>164</v>
      </c>
      <c r="H468" s="351" t="s">
        <v>221</v>
      </c>
      <c r="I468" s="351" t="s">
        <v>220</v>
      </c>
      <c r="J468" s="352" t="s">
        <v>161</v>
      </c>
    </row>
    <row r="469" spans="1:10" ht="23.25" x14ac:dyDescent="0.2">
      <c r="A469" s="380" t="str">
        <f>'1-zapasy'!A160</f>
        <v>T-6</v>
      </c>
      <c r="B469" s="356"/>
      <c r="C469" s="357" t="e">
        <f>LEFT('1-zapasy'!B160,SEARCH("(",'1-zapasy'!B160)-1)</f>
        <v>#VALUE!</v>
      </c>
      <c r="D469" s="357" t="e">
        <f>LEFT('1-zapasy'!C160,SEARCH("(",'1-zapasy'!C160)-1)</f>
        <v>#VALUE!</v>
      </c>
      <c r="E469" s="359"/>
      <c r="F469" s="359"/>
      <c r="G469" s="359"/>
      <c r="H469" s="359"/>
      <c r="I469" s="359"/>
      <c r="J469" s="360"/>
    </row>
    <row r="470" spans="1:10" ht="24" thickBot="1" x14ac:dyDescent="0.25">
      <c r="A470" s="425" t="s">
        <v>165</v>
      </c>
      <c r="B470" s="426"/>
      <c r="C470" s="361" t="e">
        <f>C458</f>
        <v>#VALUE!</v>
      </c>
      <c r="D470" s="362" t="s">
        <v>166</v>
      </c>
      <c r="E470" s="427"/>
      <c r="F470" s="427"/>
      <c r="G470" s="427"/>
      <c r="H470" s="427"/>
      <c r="I470" s="427"/>
      <c r="J470" s="428"/>
    </row>
  </sheetData>
  <mergeCells count="240">
    <mergeCell ref="A462:B462"/>
    <mergeCell ref="E462:J462"/>
    <mergeCell ref="A466:B466"/>
    <mergeCell ref="E466:J466"/>
    <mergeCell ref="A470:B470"/>
    <mergeCell ref="E470:J470"/>
    <mergeCell ref="A450:B450"/>
    <mergeCell ref="E450:J450"/>
    <mergeCell ref="A454:B454"/>
    <mergeCell ref="E454:J454"/>
    <mergeCell ref="A458:B458"/>
    <mergeCell ref="E458:J458"/>
    <mergeCell ref="A438:B438"/>
    <mergeCell ref="E438:J438"/>
    <mergeCell ref="A442:B442"/>
    <mergeCell ref="E442:J442"/>
    <mergeCell ref="A446:B446"/>
    <mergeCell ref="E446:J446"/>
    <mergeCell ref="A426:B426"/>
    <mergeCell ref="E426:J426"/>
    <mergeCell ref="A430:B430"/>
    <mergeCell ref="E430:J430"/>
    <mergeCell ref="A434:B434"/>
    <mergeCell ref="E434:J434"/>
    <mergeCell ref="A415:B415"/>
    <mergeCell ref="E415:J415"/>
    <mergeCell ref="A419:B419"/>
    <mergeCell ref="E419:J419"/>
    <mergeCell ref="A423:B423"/>
    <mergeCell ref="E423:J423"/>
    <mergeCell ref="A403:B403"/>
    <mergeCell ref="E403:J403"/>
    <mergeCell ref="A407:B407"/>
    <mergeCell ref="E407:J407"/>
    <mergeCell ref="A411:B411"/>
    <mergeCell ref="E411:J411"/>
    <mergeCell ref="A391:B391"/>
    <mergeCell ref="E391:J391"/>
    <mergeCell ref="A395:B395"/>
    <mergeCell ref="E395:J395"/>
    <mergeCell ref="A399:B399"/>
    <mergeCell ref="E399:J399"/>
    <mergeCell ref="A379:B379"/>
    <mergeCell ref="E379:J379"/>
    <mergeCell ref="A383:B383"/>
    <mergeCell ref="E383:J383"/>
    <mergeCell ref="A387:B387"/>
    <mergeCell ref="E387:J387"/>
    <mergeCell ref="A368:B368"/>
    <mergeCell ref="E368:J368"/>
    <mergeCell ref="A372:B372"/>
    <mergeCell ref="E372:J372"/>
    <mergeCell ref="A376:B376"/>
    <mergeCell ref="E376:J376"/>
    <mergeCell ref="A356:B356"/>
    <mergeCell ref="E356:J356"/>
    <mergeCell ref="A360:B360"/>
    <mergeCell ref="E360:J360"/>
    <mergeCell ref="A364:B364"/>
    <mergeCell ref="E364:J364"/>
    <mergeCell ref="A344:B344"/>
    <mergeCell ref="E344:J344"/>
    <mergeCell ref="A348:B348"/>
    <mergeCell ref="E348:J348"/>
    <mergeCell ref="A352:B352"/>
    <mergeCell ref="E352:J352"/>
    <mergeCell ref="A332:B332"/>
    <mergeCell ref="E332:J332"/>
    <mergeCell ref="A336:B336"/>
    <mergeCell ref="E336:J336"/>
    <mergeCell ref="A340:B340"/>
    <mergeCell ref="E340:J340"/>
    <mergeCell ref="A321:B321"/>
    <mergeCell ref="E321:J321"/>
    <mergeCell ref="A325:B325"/>
    <mergeCell ref="E325:J325"/>
    <mergeCell ref="A329:B329"/>
    <mergeCell ref="E329:J329"/>
    <mergeCell ref="A309:B309"/>
    <mergeCell ref="E309:J309"/>
    <mergeCell ref="A313:B313"/>
    <mergeCell ref="E313:J313"/>
    <mergeCell ref="A317:B317"/>
    <mergeCell ref="E317:J317"/>
    <mergeCell ref="A297:B297"/>
    <mergeCell ref="E297:J297"/>
    <mergeCell ref="A301:B301"/>
    <mergeCell ref="E301:J301"/>
    <mergeCell ref="A305:B305"/>
    <mergeCell ref="E305:J305"/>
    <mergeCell ref="A285:B285"/>
    <mergeCell ref="E285:J285"/>
    <mergeCell ref="A289:B289"/>
    <mergeCell ref="E289:J289"/>
    <mergeCell ref="A293:B293"/>
    <mergeCell ref="E293:J293"/>
    <mergeCell ref="A274:B274"/>
    <mergeCell ref="E274:J274"/>
    <mergeCell ref="A278:B278"/>
    <mergeCell ref="E278:J278"/>
    <mergeCell ref="A282:B282"/>
    <mergeCell ref="E282:J282"/>
    <mergeCell ref="A262:B262"/>
    <mergeCell ref="E262:J262"/>
    <mergeCell ref="A266:B266"/>
    <mergeCell ref="E266:J266"/>
    <mergeCell ref="A270:B270"/>
    <mergeCell ref="E270:J270"/>
    <mergeCell ref="A250:B250"/>
    <mergeCell ref="E250:J250"/>
    <mergeCell ref="A254:B254"/>
    <mergeCell ref="E254:J254"/>
    <mergeCell ref="A258:B258"/>
    <mergeCell ref="E258:J258"/>
    <mergeCell ref="A238:B238"/>
    <mergeCell ref="E238:J238"/>
    <mergeCell ref="A242:B242"/>
    <mergeCell ref="E242:J242"/>
    <mergeCell ref="A246:B246"/>
    <mergeCell ref="E246:J246"/>
    <mergeCell ref="A227:B227"/>
    <mergeCell ref="E227:J227"/>
    <mergeCell ref="A231:B231"/>
    <mergeCell ref="E231:J231"/>
    <mergeCell ref="A235:B235"/>
    <mergeCell ref="E235:J235"/>
    <mergeCell ref="A215:B215"/>
    <mergeCell ref="E215:J215"/>
    <mergeCell ref="A219:B219"/>
    <mergeCell ref="E219:J219"/>
    <mergeCell ref="A223:B223"/>
    <mergeCell ref="E223:J223"/>
    <mergeCell ref="A203:B203"/>
    <mergeCell ref="E203:J203"/>
    <mergeCell ref="A207:B207"/>
    <mergeCell ref="E207:J207"/>
    <mergeCell ref="A211:B211"/>
    <mergeCell ref="E211:J211"/>
    <mergeCell ref="A191:B191"/>
    <mergeCell ref="E191:J191"/>
    <mergeCell ref="A195:B195"/>
    <mergeCell ref="E195:J195"/>
    <mergeCell ref="A199:B199"/>
    <mergeCell ref="E199:J199"/>
    <mergeCell ref="A180:B180"/>
    <mergeCell ref="E180:J180"/>
    <mergeCell ref="A184:B184"/>
    <mergeCell ref="E184:J184"/>
    <mergeCell ref="A188:B188"/>
    <mergeCell ref="E188:J188"/>
    <mergeCell ref="A168:B168"/>
    <mergeCell ref="E168:J168"/>
    <mergeCell ref="A172:B172"/>
    <mergeCell ref="E172:J172"/>
    <mergeCell ref="A176:B176"/>
    <mergeCell ref="E176:J176"/>
    <mergeCell ref="A156:B156"/>
    <mergeCell ref="E156:J156"/>
    <mergeCell ref="A160:B160"/>
    <mergeCell ref="E160:J160"/>
    <mergeCell ref="A164:B164"/>
    <mergeCell ref="E164:J164"/>
    <mergeCell ref="A144:B144"/>
    <mergeCell ref="E144:J144"/>
    <mergeCell ref="A148:B148"/>
    <mergeCell ref="E148:J148"/>
    <mergeCell ref="A152:B152"/>
    <mergeCell ref="E152:J152"/>
    <mergeCell ref="A133:B133"/>
    <mergeCell ref="E133:J133"/>
    <mergeCell ref="A137:B137"/>
    <mergeCell ref="E137:J137"/>
    <mergeCell ref="A141:B141"/>
    <mergeCell ref="E141:J141"/>
    <mergeCell ref="A121:B121"/>
    <mergeCell ref="E121:J121"/>
    <mergeCell ref="A125:B125"/>
    <mergeCell ref="E125:J125"/>
    <mergeCell ref="A129:B129"/>
    <mergeCell ref="E129:J129"/>
    <mergeCell ref="A109:B109"/>
    <mergeCell ref="E109:J109"/>
    <mergeCell ref="A113:B113"/>
    <mergeCell ref="E113:J113"/>
    <mergeCell ref="A117:B117"/>
    <mergeCell ref="E117:J117"/>
    <mergeCell ref="A97:B97"/>
    <mergeCell ref="E97:J97"/>
    <mergeCell ref="A101:B101"/>
    <mergeCell ref="E101:J101"/>
    <mergeCell ref="A105:B105"/>
    <mergeCell ref="E105:J105"/>
    <mergeCell ref="A86:B86"/>
    <mergeCell ref="E86:J86"/>
    <mergeCell ref="A90:B90"/>
    <mergeCell ref="E90:J90"/>
    <mergeCell ref="A94:B94"/>
    <mergeCell ref="E94:J94"/>
    <mergeCell ref="A74:B74"/>
    <mergeCell ref="E74:J74"/>
    <mergeCell ref="A78:B78"/>
    <mergeCell ref="E78:J78"/>
    <mergeCell ref="A82:B82"/>
    <mergeCell ref="E82:J82"/>
    <mergeCell ref="A62:B62"/>
    <mergeCell ref="E62:J62"/>
    <mergeCell ref="A66:B66"/>
    <mergeCell ref="E66:J66"/>
    <mergeCell ref="A70:B70"/>
    <mergeCell ref="E70:J70"/>
    <mergeCell ref="A50:B50"/>
    <mergeCell ref="E50:J50"/>
    <mergeCell ref="A54:B54"/>
    <mergeCell ref="E54:J54"/>
    <mergeCell ref="A58:B58"/>
    <mergeCell ref="E58:J58"/>
    <mergeCell ref="A39:B39"/>
    <mergeCell ref="E39:J39"/>
    <mergeCell ref="A43:B43"/>
    <mergeCell ref="E43:J43"/>
    <mergeCell ref="A47:B47"/>
    <mergeCell ref="E47:J47"/>
    <mergeCell ref="A27:B27"/>
    <mergeCell ref="E27:J27"/>
    <mergeCell ref="A31:B31"/>
    <mergeCell ref="E31:J31"/>
    <mergeCell ref="A35:B35"/>
    <mergeCell ref="E35:J35"/>
    <mergeCell ref="A15:B15"/>
    <mergeCell ref="E15:J15"/>
    <mergeCell ref="A19:B19"/>
    <mergeCell ref="E19:J19"/>
    <mergeCell ref="A23:B23"/>
    <mergeCell ref="E23:J23"/>
    <mergeCell ref="A3:B3"/>
    <mergeCell ref="E3:J3"/>
    <mergeCell ref="A7:B7"/>
    <mergeCell ref="E7:J7"/>
    <mergeCell ref="A11:B11"/>
    <mergeCell ref="E11:J11"/>
  </mergeCells>
  <printOptions horizontalCentered="1" verticalCentered="1"/>
  <pageMargins left="0.19685039370078741" right="0.19685039370078741" top="0.19685039370078741" bottom="0.19685039370078741" header="0" footer="0.51181102362204722"/>
  <pageSetup paperSize="9" scale="92" orientation="portrait" horizontalDpi="360" verticalDpi="360" r:id="rId1"/>
  <headerFooter alignWithMargins="0">
    <oddHeader>&amp;C1. stupeň</oddHeader>
  </headerFooter>
  <rowBreaks count="5" manualBreakCount="5">
    <brk id="47" max="9" man="1"/>
    <brk id="94" max="9" man="1"/>
    <brk id="141" max="9" man="1"/>
    <brk id="188" max="9" man="1"/>
    <brk id="23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S470"/>
  <sheetViews>
    <sheetView showGridLines="0" view="pageBreakPreview" zoomScaleNormal="100" zoomScaleSheetLayoutView="100" workbookViewId="0">
      <selection activeCell="C273" sqref="C273"/>
    </sheetView>
  </sheetViews>
  <sheetFormatPr defaultRowHeight="12.75" x14ac:dyDescent="0.2"/>
  <cols>
    <col min="1" max="1" width="6.85546875" style="102" customWidth="1"/>
    <col min="2" max="2" width="5.5703125" style="102" bestFit="1" customWidth="1"/>
    <col min="3" max="4" width="23.85546875" style="89" customWidth="1"/>
    <col min="5" max="9" width="6.5703125" style="90" customWidth="1"/>
    <col min="10" max="10" width="9.42578125" style="88" customWidth="1"/>
    <col min="11" max="11" width="5.42578125" style="106" bestFit="1" customWidth="1"/>
    <col min="12" max="12" width="21.140625" style="106" customWidth="1"/>
    <col min="13" max="13" width="15" style="106" customWidth="1"/>
    <col min="14" max="14" width="15" style="90" customWidth="1"/>
    <col min="15" max="15" width="27.140625" style="90" bestFit="1" customWidth="1"/>
    <col min="16" max="18" width="5.7109375" style="90" bestFit="1" customWidth="1"/>
    <col min="19" max="19" width="8.140625" style="88" bestFit="1" customWidth="1"/>
    <col min="20" max="16384" width="9.140625" style="90"/>
  </cols>
  <sheetData>
    <row r="1" spans="1:14" ht="14.45" customHeight="1" x14ac:dyDescent="0.2">
      <c r="A1" s="103"/>
      <c r="B1" s="100" t="s">
        <v>60</v>
      </c>
      <c r="C1" s="94" t="s">
        <v>96</v>
      </c>
      <c r="D1" s="94" t="s">
        <v>97</v>
      </c>
      <c r="E1" s="93" t="s">
        <v>162</v>
      </c>
      <c r="F1" s="93" t="s">
        <v>163</v>
      </c>
      <c r="G1" s="93" t="s">
        <v>164</v>
      </c>
      <c r="H1" s="93" t="s">
        <v>221</v>
      </c>
      <c r="I1" s="93" t="s">
        <v>220</v>
      </c>
      <c r="J1" s="226" t="s">
        <v>161</v>
      </c>
    </row>
    <row r="2" spans="1:14" ht="23.25" x14ac:dyDescent="0.2">
      <c r="A2" s="268" t="str">
        <f>'1-zapasy'!A3</f>
        <v>A1-1</v>
      </c>
      <c r="B2" s="101"/>
      <c r="C2" s="99"/>
      <c r="D2" s="99"/>
      <c r="E2" s="225"/>
      <c r="F2" s="96"/>
      <c r="G2" s="96"/>
      <c r="H2" s="96"/>
      <c r="I2" s="96"/>
      <c r="J2" s="113"/>
    </row>
    <row r="3" spans="1:14" ht="24" thickBot="1" x14ac:dyDescent="0.25">
      <c r="A3" s="429" t="s">
        <v>165</v>
      </c>
      <c r="B3" s="430"/>
      <c r="C3" s="98"/>
      <c r="D3" s="92" t="s">
        <v>166</v>
      </c>
      <c r="E3" s="431"/>
      <c r="F3" s="431"/>
      <c r="G3" s="431"/>
      <c r="H3" s="431"/>
      <c r="I3" s="431"/>
      <c r="J3" s="432"/>
    </row>
    <row r="4" spans="1:14" ht="13.5" thickBot="1" x14ac:dyDescent="0.25"/>
    <row r="5" spans="1:14" ht="14.45" customHeight="1" x14ac:dyDescent="0.2">
      <c r="A5" s="103"/>
      <c r="B5" s="100" t="s">
        <v>60</v>
      </c>
      <c r="C5" s="94" t="s">
        <v>96</v>
      </c>
      <c r="D5" s="94" t="s">
        <v>97</v>
      </c>
      <c r="E5" s="93" t="s">
        <v>162</v>
      </c>
      <c r="F5" s="93" t="s">
        <v>163</v>
      </c>
      <c r="G5" s="93" t="s">
        <v>164</v>
      </c>
      <c r="H5" s="93" t="s">
        <v>221</v>
      </c>
      <c r="I5" s="93" t="s">
        <v>220</v>
      </c>
      <c r="J5" s="226" t="s">
        <v>161</v>
      </c>
    </row>
    <row r="6" spans="1:14" ht="23.25" x14ac:dyDescent="0.2">
      <c r="A6" s="268" t="str">
        <f>'1-zapasy'!A4</f>
        <v>A1-2</v>
      </c>
      <c r="B6" s="101"/>
      <c r="C6" s="99"/>
      <c r="D6" s="99"/>
      <c r="E6" s="96"/>
      <c r="F6" s="96"/>
      <c r="G6" s="96"/>
      <c r="H6" s="96"/>
      <c r="I6" s="96"/>
      <c r="J6" s="113"/>
      <c r="N6" s="227"/>
    </row>
    <row r="7" spans="1:14" ht="24" thickBot="1" x14ac:dyDescent="0.25">
      <c r="A7" s="429" t="s">
        <v>165</v>
      </c>
      <c r="B7" s="430"/>
      <c r="C7" s="98"/>
      <c r="D7" s="92" t="s">
        <v>166</v>
      </c>
      <c r="E7" s="431"/>
      <c r="F7" s="431"/>
      <c r="G7" s="431"/>
      <c r="H7" s="431"/>
      <c r="I7" s="431"/>
      <c r="J7" s="432"/>
    </row>
    <row r="8" spans="1:14" ht="12" customHeight="1" thickBot="1" x14ac:dyDescent="0.25">
      <c r="A8" s="105"/>
    </row>
    <row r="9" spans="1:14" ht="14.45" customHeight="1" x14ac:dyDescent="0.2">
      <c r="A9" s="103"/>
      <c r="B9" s="100" t="s">
        <v>60</v>
      </c>
      <c r="C9" s="94" t="s">
        <v>96</v>
      </c>
      <c r="D9" s="94" t="s">
        <v>97</v>
      </c>
      <c r="E9" s="93" t="s">
        <v>162</v>
      </c>
      <c r="F9" s="93" t="s">
        <v>163</v>
      </c>
      <c r="G9" s="93" t="s">
        <v>164</v>
      </c>
      <c r="H9" s="93" t="s">
        <v>221</v>
      </c>
      <c r="I9" s="93" t="s">
        <v>220</v>
      </c>
      <c r="J9" s="226" t="s">
        <v>161</v>
      </c>
    </row>
    <row r="10" spans="1:14" ht="23.25" x14ac:dyDescent="0.2">
      <c r="A10" s="268" t="str">
        <f>'1-zapasy'!A5</f>
        <v>A1-3</v>
      </c>
      <c r="B10" s="101"/>
      <c r="C10" s="99"/>
      <c r="D10" s="99"/>
      <c r="E10" s="96"/>
      <c r="F10" s="96"/>
      <c r="G10" s="96"/>
      <c r="H10" s="96"/>
      <c r="I10" s="96"/>
      <c r="J10" s="113"/>
    </row>
    <row r="11" spans="1:14" ht="24" thickBot="1" x14ac:dyDescent="0.25">
      <c r="A11" s="429" t="s">
        <v>165</v>
      </c>
      <c r="B11" s="430"/>
      <c r="C11" s="98"/>
      <c r="D11" s="92" t="s">
        <v>166</v>
      </c>
      <c r="E11" s="431"/>
      <c r="F11" s="431"/>
      <c r="G11" s="431"/>
      <c r="H11" s="431"/>
      <c r="I11" s="431"/>
      <c r="J11" s="432"/>
    </row>
    <row r="12" spans="1:14" ht="12" customHeight="1" thickBot="1" x14ac:dyDescent="0.25"/>
    <row r="13" spans="1:14" ht="14.45" customHeight="1" x14ac:dyDescent="0.2">
      <c r="A13" s="103"/>
      <c r="B13" s="100" t="s">
        <v>60</v>
      </c>
      <c r="C13" s="94" t="s">
        <v>96</v>
      </c>
      <c r="D13" s="94" t="s">
        <v>97</v>
      </c>
      <c r="E13" s="93" t="s">
        <v>162</v>
      </c>
      <c r="F13" s="93" t="s">
        <v>163</v>
      </c>
      <c r="G13" s="93" t="s">
        <v>164</v>
      </c>
      <c r="H13" s="93" t="s">
        <v>221</v>
      </c>
      <c r="I13" s="93" t="s">
        <v>220</v>
      </c>
      <c r="J13" s="226" t="s">
        <v>161</v>
      </c>
    </row>
    <row r="14" spans="1:14" ht="23.25" x14ac:dyDescent="0.2">
      <c r="A14" s="268" t="str">
        <f>'1-zapasy'!A6</f>
        <v>A1-4</v>
      </c>
      <c r="B14" s="101"/>
      <c r="C14" s="99"/>
      <c r="D14" s="99"/>
      <c r="E14" s="96"/>
      <c r="F14" s="96"/>
      <c r="G14" s="96"/>
      <c r="H14" s="96"/>
      <c r="I14" s="96"/>
      <c r="J14" s="113"/>
    </row>
    <row r="15" spans="1:14" ht="24" thickBot="1" x14ac:dyDescent="0.25">
      <c r="A15" s="429" t="s">
        <v>165</v>
      </c>
      <c r="B15" s="430"/>
      <c r="C15" s="98"/>
      <c r="D15" s="92" t="s">
        <v>166</v>
      </c>
      <c r="E15" s="431"/>
      <c r="F15" s="431"/>
      <c r="G15" s="431"/>
      <c r="H15" s="431"/>
      <c r="I15" s="431"/>
      <c r="J15" s="432"/>
    </row>
    <row r="16" spans="1:14" ht="12" customHeight="1" thickBot="1" x14ac:dyDescent="0.25">
      <c r="A16" s="105"/>
    </row>
    <row r="17" spans="1:10" ht="14.45" customHeight="1" x14ac:dyDescent="0.2">
      <c r="A17" s="103"/>
      <c r="B17" s="100" t="s">
        <v>60</v>
      </c>
      <c r="C17" s="94" t="s">
        <v>96</v>
      </c>
      <c r="D17" s="94" t="s">
        <v>97</v>
      </c>
      <c r="E17" s="93" t="s">
        <v>162</v>
      </c>
      <c r="F17" s="93" t="s">
        <v>163</v>
      </c>
      <c r="G17" s="93" t="s">
        <v>164</v>
      </c>
      <c r="H17" s="93" t="s">
        <v>221</v>
      </c>
      <c r="I17" s="93" t="s">
        <v>220</v>
      </c>
      <c r="J17" s="226" t="s">
        <v>161</v>
      </c>
    </row>
    <row r="18" spans="1:10" ht="23.25" x14ac:dyDescent="0.2">
      <c r="A18" s="268" t="str">
        <f>'1-zapasy'!A7</f>
        <v>A1-5</v>
      </c>
      <c r="B18" s="101"/>
      <c r="C18" s="99"/>
      <c r="D18" s="99"/>
      <c r="E18" s="96"/>
      <c r="F18" s="96"/>
      <c r="G18" s="96"/>
      <c r="H18" s="96"/>
      <c r="I18" s="96"/>
      <c r="J18" s="113"/>
    </row>
    <row r="19" spans="1:10" ht="24" thickBot="1" x14ac:dyDescent="0.25">
      <c r="A19" s="429" t="s">
        <v>165</v>
      </c>
      <c r="B19" s="430"/>
      <c r="C19" s="98"/>
      <c r="D19" s="92" t="s">
        <v>166</v>
      </c>
      <c r="E19" s="431"/>
      <c r="F19" s="431"/>
      <c r="G19" s="431"/>
      <c r="H19" s="431"/>
      <c r="I19" s="431"/>
      <c r="J19" s="432"/>
    </row>
    <row r="20" spans="1:10" ht="13.5" thickBot="1" x14ac:dyDescent="0.25"/>
    <row r="21" spans="1:10" ht="14.45" customHeight="1" x14ac:dyDescent="0.2">
      <c r="A21" s="103"/>
      <c r="B21" s="100" t="s">
        <v>60</v>
      </c>
      <c r="C21" s="94" t="s">
        <v>96</v>
      </c>
      <c r="D21" s="94" t="s">
        <v>97</v>
      </c>
      <c r="E21" s="93" t="s">
        <v>162</v>
      </c>
      <c r="F21" s="93" t="s">
        <v>163</v>
      </c>
      <c r="G21" s="93" t="s">
        <v>164</v>
      </c>
      <c r="H21" s="93" t="s">
        <v>221</v>
      </c>
      <c r="I21" s="93" t="s">
        <v>220</v>
      </c>
      <c r="J21" s="226" t="s">
        <v>161</v>
      </c>
    </row>
    <row r="22" spans="1:10" ht="23.25" x14ac:dyDescent="0.2">
      <c r="A22" s="268" t="str">
        <f>'1-zapasy'!A8</f>
        <v>A1-6</v>
      </c>
      <c r="B22" s="101"/>
      <c r="C22" s="99"/>
      <c r="D22" s="99"/>
      <c r="E22" s="96"/>
      <c r="F22" s="96"/>
      <c r="G22" s="96"/>
      <c r="H22" s="96"/>
      <c r="I22" s="96"/>
      <c r="J22" s="113"/>
    </row>
    <row r="23" spans="1:10" ht="24" thickBot="1" x14ac:dyDescent="0.25">
      <c r="A23" s="429" t="s">
        <v>165</v>
      </c>
      <c r="B23" s="430"/>
      <c r="C23" s="98"/>
      <c r="D23" s="92" t="s">
        <v>166</v>
      </c>
      <c r="E23" s="431"/>
      <c r="F23" s="431"/>
      <c r="G23" s="431"/>
      <c r="H23" s="431"/>
      <c r="I23" s="431"/>
      <c r="J23" s="432"/>
    </row>
    <row r="24" spans="1:10" ht="12" customHeight="1" thickBot="1" x14ac:dyDescent="0.25">
      <c r="A24" s="105"/>
    </row>
    <row r="25" spans="1:10" x14ac:dyDescent="0.2">
      <c r="A25" s="103"/>
      <c r="B25" s="100" t="s">
        <v>60</v>
      </c>
      <c r="C25" s="94" t="s">
        <v>96</v>
      </c>
      <c r="D25" s="94" t="s">
        <v>97</v>
      </c>
      <c r="E25" s="93" t="s">
        <v>162</v>
      </c>
      <c r="F25" s="93" t="s">
        <v>163</v>
      </c>
      <c r="G25" s="93" t="s">
        <v>164</v>
      </c>
      <c r="H25" s="93" t="s">
        <v>221</v>
      </c>
      <c r="I25" s="93" t="s">
        <v>220</v>
      </c>
      <c r="J25" s="226" t="s">
        <v>161</v>
      </c>
    </row>
    <row r="26" spans="1:10" ht="23.25" x14ac:dyDescent="0.2">
      <c r="A26" s="268" t="str">
        <f>'1-zapasy'!A11</f>
        <v>A2-1</v>
      </c>
      <c r="B26" s="101"/>
      <c r="C26" s="99"/>
      <c r="D26" s="99"/>
      <c r="E26" s="225"/>
      <c r="F26" s="96"/>
      <c r="G26" s="96"/>
      <c r="H26" s="96"/>
      <c r="I26" s="96"/>
      <c r="J26" s="113"/>
    </row>
    <row r="27" spans="1:10" ht="24" thickBot="1" x14ac:dyDescent="0.25">
      <c r="A27" s="429" t="s">
        <v>165</v>
      </c>
      <c r="B27" s="430"/>
      <c r="C27" s="98"/>
      <c r="D27" s="92" t="s">
        <v>166</v>
      </c>
      <c r="E27" s="431"/>
      <c r="F27" s="431"/>
      <c r="G27" s="431"/>
      <c r="H27" s="431"/>
      <c r="I27" s="431"/>
      <c r="J27" s="432"/>
    </row>
    <row r="28" spans="1:10" ht="13.5" thickBot="1" x14ac:dyDescent="0.25"/>
    <row r="29" spans="1:10" x14ac:dyDescent="0.2">
      <c r="A29" s="103"/>
      <c r="B29" s="100" t="s">
        <v>60</v>
      </c>
      <c r="C29" s="94" t="s">
        <v>96</v>
      </c>
      <c r="D29" s="94" t="s">
        <v>97</v>
      </c>
      <c r="E29" s="93" t="s">
        <v>162</v>
      </c>
      <c r="F29" s="93" t="s">
        <v>163</v>
      </c>
      <c r="G29" s="93" t="s">
        <v>164</v>
      </c>
      <c r="H29" s="93" t="s">
        <v>221</v>
      </c>
      <c r="I29" s="93" t="s">
        <v>220</v>
      </c>
      <c r="J29" s="226" t="s">
        <v>161</v>
      </c>
    </row>
    <row r="30" spans="1:10" ht="23.25" x14ac:dyDescent="0.2">
      <c r="A30" s="268" t="str">
        <f>'1-zapasy'!A12</f>
        <v>A2-2</v>
      </c>
      <c r="B30" s="101"/>
      <c r="C30" s="99"/>
      <c r="D30" s="99"/>
      <c r="E30" s="96"/>
      <c r="F30" s="96"/>
      <c r="G30" s="96"/>
      <c r="H30" s="96"/>
      <c r="I30" s="96"/>
      <c r="J30" s="113"/>
    </row>
    <row r="31" spans="1:10" ht="24" thickBot="1" x14ac:dyDescent="0.25">
      <c r="A31" s="429" t="s">
        <v>165</v>
      </c>
      <c r="B31" s="430"/>
      <c r="C31" s="98"/>
      <c r="D31" s="92" t="s">
        <v>166</v>
      </c>
      <c r="E31" s="431"/>
      <c r="F31" s="431"/>
      <c r="G31" s="431"/>
      <c r="H31" s="431"/>
      <c r="I31" s="431"/>
      <c r="J31" s="432"/>
    </row>
    <row r="32" spans="1:10" ht="13.5" thickBot="1" x14ac:dyDescent="0.25">
      <c r="A32" s="105"/>
    </row>
    <row r="33" spans="1:10" x14ac:dyDescent="0.2">
      <c r="A33" s="103"/>
      <c r="B33" s="100" t="s">
        <v>60</v>
      </c>
      <c r="C33" s="94" t="s">
        <v>96</v>
      </c>
      <c r="D33" s="94" t="s">
        <v>97</v>
      </c>
      <c r="E33" s="93" t="s">
        <v>162</v>
      </c>
      <c r="F33" s="93" t="s">
        <v>163</v>
      </c>
      <c r="G33" s="93" t="s">
        <v>164</v>
      </c>
      <c r="H33" s="93" t="s">
        <v>221</v>
      </c>
      <c r="I33" s="93" t="s">
        <v>220</v>
      </c>
      <c r="J33" s="226" t="s">
        <v>161</v>
      </c>
    </row>
    <row r="34" spans="1:10" ht="23.25" x14ac:dyDescent="0.2">
      <c r="A34" s="268" t="str">
        <f>'1-zapasy'!A13</f>
        <v>A2-3</v>
      </c>
      <c r="B34" s="101"/>
      <c r="C34" s="99"/>
      <c r="D34" s="99"/>
      <c r="E34" s="96"/>
      <c r="F34" s="96"/>
      <c r="G34" s="96"/>
      <c r="H34" s="96"/>
      <c r="I34" s="96"/>
      <c r="J34" s="113"/>
    </row>
    <row r="35" spans="1:10" ht="24" thickBot="1" x14ac:dyDescent="0.25">
      <c r="A35" s="429" t="s">
        <v>165</v>
      </c>
      <c r="B35" s="430"/>
      <c r="C35" s="98"/>
      <c r="D35" s="92" t="s">
        <v>166</v>
      </c>
      <c r="E35" s="431"/>
      <c r="F35" s="431"/>
      <c r="G35" s="431"/>
      <c r="H35" s="431"/>
      <c r="I35" s="431"/>
      <c r="J35" s="432"/>
    </row>
    <row r="36" spans="1:10" ht="13.5" thickBot="1" x14ac:dyDescent="0.25">
      <c r="A36" s="105"/>
    </row>
    <row r="37" spans="1:10" x14ac:dyDescent="0.2">
      <c r="A37" s="103"/>
      <c r="B37" s="100" t="s">
        <v>60</v>
      </c>
      <c r="C37" s="94" t="s">
        <v>96</v>
      </c>
      <c r="D37" s="94" t="s">
        <v>97</v>
      </c>
      <c r="E37" s="93" t="s">
        <v>162</v>
      </c>
      <c r="F37" s="93" t="s">
        <v>163</v>
      </c>
      <c r="G37" s="93" t="s">
        <v>164</v>
      </c>
      <c r="H37" s="93" t="s">
        <v>221</v>
      </c>
      <c r="I37" s="93" t="s">
        <v>220</v>
      </c>
      <c r="J37" s="226" t="s">
        <v>161</v>
      </c>
    </row>
    <row r="38" spans="1:10" ht="23.25" x14ac:dyDescent="0.2">
      <c r="A38" s="268" t="str">
        <f>'1-zapasy'!A14</f>
        <v>A2-4</v>
      </c>
      <c r="B38" s="101"/>
      <c r="C38" s="99"/>
      <c r="D38" s="99"/>
      <c r="E38" s="96"/>
      <c r="F38" s="96"/>
      <c r="G38" s="96"/>
      <c r="H38" s="96"/>
      <c r="I38" s="96"/>
      <c r="J38" s="113"/>
    </row>
    <row r="39" spans="1:10" ht="24" thickBot="1" x14ac:dyDescent="0.25">
      <c r="A39" s="429" t="s">
        <v>165</v>
      </c>
      <c r="B39" s="430"/>
      <c r="C39" s="98"/>
      <c r="D39" s="92" t="s">
        <v>166</v>
      </c>
      <c r="E39" s="431"/>
      <c r="F39" s="431"/>
      <c r="G39" s="431"/>
      <c r="H39" s="431"/>
      <c r="I39" s="431"/>
      <c r="J39" s="432"/>
    </row>
    <row r="40" spans="1:10" ht="13.5" thickBot="1" x14ac:dyDescent="0.25">
      <c r="A40" s="105"/>
    </row>
    <row r="41" spans="1:10" x14ac:dyDescent="0.2">
      <c r="A41" s="103"/>
      <c r="B41" s="100" t="s">
        <v>60</v>
      </c>
      <c r="C41" s="94" t="s">
        <v>96</v>
      </c>
      <c r="D41" s="94" t="s">
        <v>97</v>
      </c>
      <c r="E41" s="93" t="s">
        <v>162</v>
      </c>
      <c r="F41" s="93" t="s">
        <v>163</v>
      </c>
      <c r="G41" s="93" t="s">
        <v>164</v>
      </c>
      <c r="H41" s="93" t="s">
        <v>221</v>
      </c>
      <c r="I41" s="93" t="s">
        <v>220</v>
      </c>
      <c r="J41" s="226" t="s">
        <v>161</v>
      </c>
    </row>
    <row r="42" spans="1:10" ht="23.25" x14ac:dyDescent="0.2">
      <c r="A42" s="268" t="str">
        <f>'1-zapasy'!A15</f>
        <v>A2-5</v>
      </c>
      <c r="B42" s="101"/>
      <c r="C42" s="99"/>
      <c r="D42" s="99"/>
      <c r="E42" s="96"/>
      <c r="F42" s="96"/>
      <c r="G42" s="96"/>
      <c r="H42" s="96"/>
      <c r="I42" s="96"/>
      <c r="J42" s="113"/>
    </row>
    <row r="43" spans="1:10" ht="24" thickBot="1" x14ac:dyDescent="0.25">
      <c r="A43" s="429" t="s">
        <v>165</v>
      </c>
      <c r="B43" s="430"/>
      <c r="C43" s="98"/>
      <c r="D43" s="92" t="s">
        <v>166</v>
      </c>
      <c r="E43" s="431"/>
      <c r="F43" s="431"/>
      <c r="G43" s="431"/>
      <c r="H43" s="431"/>
      <c r="I43" s="431"/>
      <c r="J43" s="432"/>
    </row>
    <row r="44" spans="1:10" ht="13.5" thickBot="1" x14ac:dyDescent="0.25"/>
    <row r="45" spans="1:10" x14ac:dyDescent="0.2">
      <c r="A45" s="103"/>
      <c r="B45" s="100" t="s">
        <v>60</v>
      </c>
      <c r="C45" s="94" t="s">
        <v>96</v>
      </c>
      <c r="D45" s="94" t="s">
        <v>97</v>
      </c>
      <c r="E45" s="93" t="s">
        <v>162</v>
      </c>
      <c r="F45" s="93" t="s">
        <v>163</v>
      </c>
      <c r="G45" s="93" t="s">
        <v>164</v>
      </c>
      <c r="H45" s="93" t="s">
        <v>221</v>
      </c>
      <c r="I45" s="93" t="s">
        <v>220</v>
      </c>
      <c r="J45" s="226" t="s">
        <v>161</v>
      </c>
    </row>
    <row r="46" spans="1:10" ht="23.25" x14ac:dyDescent="0.2">
      <c r="A46" s="268" t="str">
        <f>'1-zapasy'!A16</f>
        <v>A2-6</v>
      </c>
      <c r="B46" s="101"/>
      <c r="C46" s="99"/>
      <c r="D46" s="99"/>
      <c r="E46" s="96"/>
      <c r="F46" s="96"/>
      <c r="G46" s="96"/>
      <c r="H46" s="96"/>
      <c r="I46" s="96"/>
      <c r="J46" s="113"/>
    </row>
    <row r="47" spans="1:10" ht="24" thickBot="1" x14ac:dyDescent="0.25">
      <c r="A47" s="429" t="s">
        <v>165</v>
      </c>
      <c r="B47" s="430"/>
      <c r="C47" s="98"/>
      <c r="D47" s="92" t="s">
        <v>166</v>
      </c>
      <c r="E47" s="431"/>
      <c r="F47" s="431"/>
      <c r="G47" s="431"/>
      <c r="H47" s="431"/>
      <c r="I47" s="431"/>
      <c r="J47" s="432"/>
    </row>
    <row r="48" spans="1:10" x14ac:dyDescent="0.2">
      <c r="A48" s="103"/>
      <c r="B48" s="100" t="s">
        <v>60</v>
      </c>
      <c r="C48" s="94" t="s">
        <v>96</v>
      </c>
      <c r="D48" s="94" t="s">
        <v>97</v>
      </c>
      <c r="E48" s="93" t="s">
        <v>162</v>
      </c>
      <c r="F48" s="93" t="s">
        <v>163</v>
      </c>
      <c r="G48" s="93" t="s">
        <v>164</v>
      </c>
      <c r="H48" s="93" t="s">
        <v>221</v>
      </c>
      <c r="I48" s="93" t="s">
        <v>220</v>
      </c>
      <c r="J48" s="226" t="s">
        <v>161</v>
      </c>
    </row>
    <row r="49" spans="1:10" ht="23.25" x14ac:dyDescent="0.2">
      <c r="A49" s="268" t="str">
        <f>'1-zapasy'!A19</f>
        <v>A3-1</v>
      </c>
      <c r="B49" s="101"/>
      <c r="C49" s="99"/>
      <c r="D49" s="99"/>
      <c r="E49" s="225"/>
      <c r="F49" s="96"/>
      <c r="G49" s="96"/>
      <c r="H49" s="96"/>
      <c r="I49" s="96"/>
      <c r="J49" s="113"/>
    </row>
    <row r="50" spans="1:10" ht="24" thickBot="1" x14ac:dyDescent="0.25">
      <c r="A50" s="429" t="s">
        <v>165</v>
      </c>
      <c r="B50" s="430"/>
      <c r="C50" s="98"/>
      <c r="D50" s="92" t="s">
        <v>166</v>
      </c>
      <c r="E50" s="431"/>
      <c r="F50" s="431"/>
      <c r="G50" s="431"/>
      <c r="H50" s="431"/>
      <c r="I50" s="431"/>
      <c r="J50" s="432"/>
    </row>
    <row r="51" spans="1:10" ht="13.5" thickBot="1" x14ac:dyDescent="0.25"/>
    <row r="52" spans="1:10" x14ac:dyDescent="0.2">
      <c r="A52" s="103"/>
      <c r="B52" s="100" t="s">
        <v>60</v>
      </c>
      <c r="C52" s="94" t="s">
        <v>96</v>
      </c>
      <c r="D52" s="94" t="s">
        <v>97</v>
      </c>
      <c r="E52" s="93" t="s">
        <v>162</v>
      </c>
      <c r="F52" s="93" t="s">
        <v>163</v>
      </c>
      <c r="G52" s="93" t="s">
        <v>164</v>
      </c>
      <c r="H52" s="93" t="s">
        <v>221</v>
      </c>
      <c r="I52" s="93" t="s">
        <v>220</v>
      </c>
      <c r="J52" s="226" t="s">
        <v>161</v>
      </c>
    </row>
    <row r="53" spans="1:10" ht="23.25" x14ac:dyDescent="0.2">
      <c r="A53" s="268" t="str">
        <f>'1-zapasy'!A20</f>
        <v>A3-2</v>
      </c>
      <c r="B53" s="101"/>
      <c r="C53" s="99"/>
      <c r="D53" s="99"/>
      <c r="E53" s="96"/>
      <c r="F53" s="96"/>
      <c r="G53" s="96"/>
      <c r="H53" s="96"/>
      <c r="I53" s="96"/>
      <c r="J53" s="113"/>
    </row>
    <row r="54" spans="1:10" ht="24" thickBot="1" x14ac:dyDescent="0.25">
      <c r="A54" s="429" t="s">
        <v>165</v>
      </c>
      <c r="B54" s="430"/>
      <c r="C54" s="98"/>
      <c r="D54" s="92" t="s">
        <v>166</v>
      </c>
      <c r="E54" s="431"/>
      <c r="F54" s="431"/>
      <c r="G54" s="431"/>
      <c r="H54" s="431"/>
      <c r="I54" s="431"/>
      <c r="J54" s="432"/>
    </row>
    <row r="55" spans="1:10" ht="13.5" thickBot="1" x14ac:dyDescent="0.25">
      <c r="A55" s="105"/>
    </row>
    <row r="56" spans="1:10" x14ac:dyDescent="0.2">
      <c r="A56" s="103"/>
      <c r="B56" s="100" t="s">
        <v>60</v>
      </c>
      <c r="C56" s="94" t="s">
        <v>96</v>
      </c>
      <c r="D56" s="94" t="s">
        <v>97</v>
      </c>
      <c r="E56" s="93" t="s">
        <v>162</v>
      </c>
      <c r="F56" s="93" t="s">
        <v>163</v>
      </c>
      <c r="G56" s="93" t="s">
        <v>164</v>
      </c>
      <c r="H56" s="93" t="s">
        <v>221</v>
      </c>
      <c r="I56" s="93" t="s">
        <v>220</v>
      </c>
      <c r="J56" s="226" t="s">
        <v>161</v>
      </c>
    </row>
    <row r="57" spans="1:10" ht="23.25" x14ac:dyDescent="0.2">
      <c r="A57" s="268" t="str">
        <f>'1-zapasy'!A21</f>
        <v>A3-3</v>
      </c>
      <c r="B57" s="101"/>
      <c r="C57" s="99"/>
      <c r="D57" s="99"/>
      <c r="E57" s="96"/>
      <c r="F57" s="96"/>
      <c r="G57" s="96"/>
      <c r="H57" s="96"/>
      <c r="I57" s="96"/>
      <c r="J57" s="113"/>
    </row>
    <row r="58" spans="1:10" ht="24" thickBot="1" x14ac:dyDescent="0.25">
      <c r="A58" s="429" t="s">
        <v>165</v>
      </c>
      <c r="B58" s="430"/>
      <c r="C58" s="98"/>
      <c r="D58" s="92" t="s">
        <v>166</v>
      </c>
      <c r="E58" s="431"/>
      <c r="F58" s="431"/>
      <c r="G58" s="431"/>
      <c r="H58" s="431"/>
      <c r="I58" s="431"/>
      <c r="J58" s="432"/>
    </row>
    <row r="59" spans="1:10" ht="13.5" thickBot="1" x14ac:dyDescent="0.25"/>
    <row r="60" spans="1:10" x14ac:dyDescent="0.2">
      <c r="A60" s="103"/>
      <c r="B60" s="100" t="s">
        <v>60</v>
      </c>
      <c r="C60" s="94" t="s">
        <v>96</v>
      </c>
      <c r="D60" s="94" t="s">
        <v>97</v>
      </c>
      <c r="E60" s="93" t="s">
        <v>162</v>
      </c>
      <c r="F60" s="93" t="s">
        <v>163</v>
      </c>
      <c r="G60" s="93" t="s">
        <v>164</v>
      </c>
      <c r="H60" s="93" t="s">
        <v>221</v>
      </c>
      <c r="I60" s="93" t="s">
        <v>220</v>
      </c>
      <c r="J60" s="226" t="s">
        <v>161</v>
      </c>
    </row>
    <row r="61" spans="1:10" ht="23.25" x14ac:dyDescent="0.2">
      <c r="A61" s="268" t="str">
        <f>'1-zapasy'!A22</f>
        <v>A3-4</v>
      </c>
      <c r="B61" s="101"/>
      <c r="C61" s="99"/>
      <c r="D61" s="99"/>
      <c r="E61" s="96"/>
      <c r="F61" s="96"/>
      <c r="G61" s="96"/>
      <c r="H61" s="96"/>
      <c r="I61" s="96"/>
      <c r="J61" s="113"/>
    </row>
    <row r="62" spans="1:10" ht="24" thickBot="1" x14ac:dyDescent="0.25">
      <c r="A62" s="429" t="s">
        <v>165</v>
      </c>
      <c r="B62" s="430"/>
      <c r="C62" s="98"/>
      <c r="D62" s="92" t="s">
        <v>166</v>
      </c>
      <c r="E62" s="431"/>
      <c r="F62" s="431"/>
      <c r="G62" s="431"/>
      <c r="H62" s="431"/>
      <c r="I62" s="431"/>
      <c r="J62" s="432"/>
    </row>
    <row r="63" spans="1:10" ht="13.5" thickBot="1" x14ac:dyDescent="0.25">
      <c r="A63" s="105"/>
    </row>
    <row r="64" spans="1:10" x14ac:dyDescent="0.2">
      <c r="A64" s="103"/>
      <c r="B64" s="100" t="s">
        <v>60</v>
      </c>
      <c r="C64" s="94" t="s">
        <v>96</v>
      </c>
      <c r="D64" s="94" t="s">
        <v>97</v>
      </c>
      <c r="E64" s="93" t="s">
        <v>162</v>
      </c>
      <c r="F64" s="93" t="s">
        <v>163</v>
      </c>
      <c r="G64" s="93" t="s">
        <v>164</v>
      </c>
      <c r="H64" s="93" t="s">
        <v>221</v>
      </c>
      <c r="I64" s="93" t="s">
        <v>220</v>
      </c>
      <c r="J64" s="226" t="s">
        <v>161</v>
      </c>
    </row>
    <row r="65" spans="1:10" ht="23.25" x14ac:dyDescent="0.2">
      <c r="A65" s="268" t="str">
        <f>'1-zapasy'!A23</f>
        <v>A3-5</v>
      </c>
      <c r="B65" s="101"/>
      <c r="C65" s="99"/>
      <c r="D65" s="99"/>
      <c r="E65" s="96"/>
      <c r="F65" s="96"/>
      <c r="G65" s="96"/>
      <c r="H65" s="96"/>
      <c r="I65" s="96"/>
      <c r="J65" s="113"/>
    </row>
    <row r="66" spans="1:10" ht="24" thickBot="1" x14ac:dyDescent="0.25">
      <c r="A66" s="429" t="s">
        <v>165</v>
      </c>
      <c r="B66" s="430"/>
      <c r="C66" s="98"/>
      <c r="D66" s="92" t="s">
        <v>166</v>
      </c>
      <c r="E66" s="431"/>
      <c r="F66" s="431"/>
      <c r="G66" s="431"/>
      <c r="H66" s="431"/>
      <c r="I66" s="431"/>
      <c r="J66" s="432"/>
    </row>
    <row r="67" spans="1:10" ht="13.5" thickBot="1" x14ac:dyDescent="0.25"/>
    <row r="68" spans="1:10" x14ac:dyDescent="0.2">
      <c r="A68" s="103"/>
      <c r="B68" s="100" t="s">
        <v>60</v>
      </c>
      <c r="C68" s="94" t="s">
        <v>96</v>
      </c>
      <c r="D68" s="94" t="s">
        <v>97</v>
      </c>
      <c r="E68" s="93" t="s">
        <v>162</v>
      </c>
      <c r="F68" s="93" t="s">
        <v>163</v>
      </c>
      <c r="G68" s="93" t="s">
        <v>164</v>
      </c>
      <c r="H68" s="93" t="s">
        <v>221</v>
      </c>
      <c r="I68" s="93" t="s">
        <v>220</v>
      </c>
      <c r="J68" s="226" t="s">
        <v>161</v>
      </c>
    </row>
    <row r="69" spans="1:10" ht="23.25" x14ac:dyDescent="0.2">
      <c r="A69" s="268" t="str">
        <f>'1-zapasy'!A24</f>
        <v>A3-6</v>
      </c>
      <c r="B69" s="101"/>
      <c r="C69" s="99"/>
      <c r="D69" s="99"/>
      <c r="E69" s="96"/>
      <c r="F69" s="96"/>
      <c r="G69" s="96"/>
      <c r="H69" s="96"/>
      <c r="I69" s="96"/>
      <c r="J69" s="113"/>
    </row>
    <row r="70" spans="1:10" ht="24" thickBot="1" x14ac:dyDescent="0.25">
      <c r="A70" s="429" t="s">
        <v>165</v>
      </c>
      <c r="B70" s="430"/>
      <c r="C70" s="98"/>
      <c r="D70" s="92" t="s">
        <v>166</v>
      </c>
      <c r="E70" s="431"/>
      <c r="F70" s="431"/>
      <c r="G70" s="431"/>
      <c r="H70" s="431"/>
      <c r="I70" s="431"/>
      <c r="J70" s="432"/>
    </row>
    <row r="71" spans="1:10" ht="13.5" thickBot="1" x14ac:dyDescent="0.25">
      <c r="A71" s="105"/>
    </row>
    <row r="72" spans="1:10" x14ac:dyDescent="0.2">
      <c r="A72" s="103"/>
      <c r="B72" s="100" t="s">
        <v>60</v>
      </c>
      <c r="C72" s="94" t="s">
        <v>96</v>
      </c>
      <c r="D72" s="94" t="s">
        <v>97</v>
      </c>
      <c r="E72" s="93" t="s">
        <v>162</v>
      </c>
      <c r="F72" s="93" t="s">
        <v>163</v>
      </c>
      <c r="G72" s="93" t="s">
        <v>164</v>
      </c>
      <c r="H72" s="93" t="s">
        <v>221</v>
      </c>
      <c r="I72" s="93" t="s">
        <v>220</v>
      </c>
      <c r="J72" s="226" t="s">
        <v>161</v>
      </c>
    </row>
    <row r="73" spans="1:10" ht="23.25" x14ac:dyDescent="0.2">
      <c r="A73" s="268" t="str">
        <f>'1-zapasy'!A27</f>
        <v>A4-1</v>
      </c>
      <c r="B73" s="101"/>
      <c r="C73" s="99"/>
      <c r="D73" s="99"/>
      <c r="E73" s="225"/>
      <c r="F73" s="96"/>
      <c r="G73" s="96"/>
      <c r="H73" s="96"/>
      <c r="I73" s="96"/>
      <c r="J73" s="113"/>
    </row>
    <row r="74" spans="1:10" ht="24" thickBot="1" x14ac:dyDescent="0.25">
      <c r="A74" s="429" t="s">
        <v>165</v>
      </c>
      <c r="B74" s="430"/>
      <c r="C74" s="98"/>
      <c r="D74" s="92" t="s">
        <v>166</v>
      </c>
      <c r="E74" s="431"/>
      <c r="F74" s="431"/>
      <c r="G74" s="431"/>
      <c r="H74" s="431"/>
      <c r="I74" s="431"/>
      <c r="J74" s="432"/>
    </row>
    <row r="75" spans="1:10" ht="13.5" thickBot="1" x14ac:dyDescent="0.25"/>
    <row r="76" spans="1:10" x14ac:dyDescent="0.2">
      <c r="A76" s="103"/>
      <c r="B76" s="100" t="s">
        <v>60</v>
      </c>
      <c r="C76" s="94" t="s">
        <v>96</v>
      </c>
      <c r="D76" s="94" t="s">
        <v>97</v>
      </c>
      <c r="E76" s="93" t="s">
        <v>162</v>
      </c>
      <c r="F76" s="93" t="s">
        <v>163</v>
      </c>
      <c r="G76" s="93" t="s">
        <v>164</v>
      </c>
      <c r="H76" s="93" t="s">
        <v>221</v>
      </c>
      <c r="I76" s="93" t="s">
        <v>220</v>
      </c>
      <c r="J76" s="226" t="s">
        <v>161</v>
      </c>
    </row>
    <row r="77" spans="1:10" ht="23.25" x14ac:dyDescent="0.2">
      <c r="A77" s="268" t="str">
        <f>'1-zapasy'!A28</f>
        <v>A4-2</v>
      </c>
      <c r="B77" s="101"/>
      <c r="C77" s="99"/>
      <c r="D77" s="99"/>
      <c r="E77" s="96"/>
      <c r="F77" s="96"/>
      <c r="G77" s="96"/>
      <c r="H77" s="96"/>
      <c r="I77" s="96"/>
      <c r="J77" s="113"/>
    </row>
    <row r="78" spans="1:10" ht="24" thickBot="1" x14ac:dyDescent="0.25">
      <c r="A78" s="429" t="s">
        <v>165</v>
      </c>
      <c r="B78" s="430"/>
      <c r="C78" s="98"/>
      <c r="D78" s="92" t="s">
        <v>166</v>
      </c>
      <c r="E78" s="431"/>
      <c r="F78" s="431"/>
      <c r="G78" s="431"/>
      <c r="H78" s="431"/>
      <c r="I78" s="431"/>
      <c r="J78" s="432"/>
    </row>
    <row r="79" spans="1:10" ht="13.5" thickBot="1" x14ac:dyDescent="0.25">
      <c r="A79" s="105"/>
    </row>
    <row r="80" spans="1:10" x14ac:dyDescent="0.2">
      <c r="A80" s="103"/>
      <c r="B80" s="100" t="s">
        <v>60</v>
      </c>
      <c r="C80" s="94" t="s">
        <v>96</v>
      </c>
      <c r="D80" s="94" t="s">
        <v>97</v>
      </c>
      <c r="E80" s="93" t="s">
        <v>162</v>
      </c>
      <c r="F80" s="93" t="s">
        <v>163</v>
      </c>
      <c r="G80" s="93" t="s">
        <v>164</v>
      </c>
      <c r="H80" s="93" t="s">
        <v>221</v>
      </c>
      <c r="I80" s="93" t="s">
        <v>220</v>
      </c>
      <c r="J80" s="226" t="s">
        <v>161</v>
      </c>
    </row>
    <row r="81" spans="1:10" ht="23.25" x14ac:dyDescent="0.2">
      <c r="A81" s="268" t="str">
        <f>'1-zapasy'!A29</f>
        <v>A4-3</v>
      </c>
      <c r="B81" s="101"/>
      <c r="C81" s="99"/>
      <c r="D81" s="99"/>
      <c r="E81" s="96"/>
      <c r="F81" s="96"/>
      <c r="G81" s="96"/>
      <c r="H81" s="96"/>
      <c r="I81" s="96"/>
      <c r="J81" s="113"/>
    </row>
    <row r="82" spans="1:10" ht="24" thickBot="1" x14ac:dyDescent="0.25">
      <c r="A82" s="429" t="s">
        <v>165</v>
      </c>
      <c r="B82" s="430"/>
      <c r="C82" s="98"/>
      <c r="D82" s="92" t="s">
        <v>166</v>
      </c>
      <c r="E82" s="431"/>
      <c r="F82" s="431"/>
      <c r="G82" s="431"/>
      <c r="H82" s="431"/>
      <c r="I82" s="431"/>
      <c r="J82" s="432"/>
    </row>
    <row r="83" spans="1:10" ht="13.5" thickBot="1" x14ac:dyDescent="0.25">
      <c r="A83" s="105"/>
    </row>
    <row r="84" spans="1:10" x14ac:dyDescent="0.2">
      <c r="A84" s="103"/>
      <c r="B84" s="100" t="s">
        <v>60</v>
      </c>
      <c r="C84" s="94" t="s">
        <v>96</v>
      </c>
      <c r="D84" s="94" t="s">
        <v>97</v>
      </c>
      <c r="E84" s="93" t="s">
        <v>162</v>
      </c>
      <c r="F84" s="93" t="s">
        <v>163</v>
      </c>
      <c r="G84" s="93" t="s">
        <v>164</v>
      </c>
      <c r="H84" s="93" t="s">
        <v>221</v>
      </c>
      <c r="I84" s="93" t="s">
        <v>220</v>
      </c>
      <c r="J84" s="226" t="s">
        <v>161</v>
      </c>
    </row>
    <row r="85" spans="1:10" ht="23.25" x14ac:dyDescent="0.2">
      <c r="A85" s="268" t="str">
        <f>'1-zapasy'!A30</f>
        <v>A4-4</v>
      </c>
      <c r="B85" s="101"/>
      <c r="C85" s="99"/>
      <c r="D85" s="99"/>
      <c r="E85" s="96"/>
      <c r="F85" s="96"/>
      <c r="G85" s="96"/>
      <c r="H85" s="96"/>
      <c r="I85" s="96"/>
      <c r="J85" s="113"/>
    </row>
    <row r="86" spans="1:10" ht="24" thickBot="1" x14ac:dyDescent="0.25">
      <c r="A86" s="429" t="s">
        <v>165</v>
      </c>
      <c r="B86" s="430"/>
      <c r="C86" s="98"/>
      <c r="D86" s="92" t="s">
        <v>166</v>
      </c>
      <c r="E86" s="431"/>
      <c r="F86" s="431"/>
      <c r="G86" s="431"/>
      <c r="H86" s="431"/>
      <c r="I86" s="431"/>
      <c r="J86" s="432"/>
    </row>
    <row r="87" spans="1:10" ht="13.5" thickBot="1" x14ac:dyDescent="0.25">
      <c r="A87" s="105"/>
    </row>
    <row r="88" spans="1:10" x14ac:dyDescent="0.2">
      <c r="A88" s="103"/>
      <c r="B88" s="100" t="s">
        <v>60</v>
      </c>
      <c r="C88" s="94" t="s">
        <v>96</v>
      </c>
      <c r="D88" s="94" t="s">
        <v>97</v>
      </c>
      <c r="E88" s="93" t="s">
        <v>162</v>
      </c>
      <c r="F88" s="93" t="s">
        <v>163</v>
      </c>
      <c r="G88" s="93" t="s">
        <v>164</v>
      </c>
      <c r="H88" s="93" t="s">
        <v>221</v>
      </c>
      <c r="I88" s="93" t="s">
        <v>220</v>
      </c>
      <c r="J88" s="226" t="s">
        <v>161</v>
      </c>
    </row>
    <row r="89" spans="1:10" ht="23.25" x14ac:dyDescent="0.2">
      <c r="A89" s="268" t="str">
        <f>'1-zapasy'!A31</f>
        <v>A4-5</v>
      </c>
      <c r="B89" s="101"/>
      <c r="C89" s="99"/>
      <c r="D89" s="99"/>
      <c r="E89" s="96"/>
      <c r="F89" s="96"/>
      <c r="G89" s="96"/>
      <c r="H89" s="96"/>
      <c r="I89" s="96"/>
      <c r="J89" s="113"/>
    </row>
    <row r="90" spans="1:10" ht="24" thickBot="1" x14ac:dyDescent="0.25">
      <c r="A90" s="429" t="s">
        <v>165</v>
      </c>
      <c r="B90" s="430"/>
      <c r="C90" s="98"/>
      <c r="D90" s="92" t="s">
        <v>166</v>
      </c>
      <c r="E90" s="431"/>
      <c r="F90" s="431"/>
      <c r="G90" s="431"/>
      <c r="H90" s="431"/>
      <c r="I90" s="431"/>
      <c r="J90" s="432"/>
    </row>
    <row r="91" spans="1:10" ht="13.5" thickBot="1" x14ac:dyDescent="0.25"/>
    <row r="92" spans="1:10" x14ac:dyDescent="0.2">
      <c r="A92" s="103"/>
      <c r="B92" s="100" t="s">
        <v>60</v>
      </c>
      <c r="C92" s="94" t="s">
        <v>96</v>
      </c>
      <c r="D92" s="94" t="s">
        <v>97</v>
      </c>
      <c r="E92" s="93" t="s">
        <v>162</v>
      </c>
      <c r="F92" s="93" t="s">
        <v>163</v>
      </c>
      <c r="G92" s="93" t="s">
        <v>164</v>
      </c>
      <c r="H92" s="93" t="s">
        <v>221</v>
      </c>
      <c r="I92" s="93" t="s">
        <v>220</v>
      </c>
      <c r="J92" s="226" t="s">
        <v>161</v>
      </c>
    </row>
    <row r="93" spans="1:10" ht="23.25" x14ac:dyDescent="0.2">
      <c r="A93" s="268" t="str">
        <f>'1-zapasy'!A32</f>
        <v>A4-6</v>
      </c>
      <c r="B93" s="101"/>
      <c r="C93" s="99"/>
      <c r="D93" s="99"/>
      <c r="E93" s="96"/>
      <c r="F93" s="96"/>
      <c r="G93" s="96"/>
      <c r="H93" s="96"/>
      <c r="I93" s="96"/>
      <c r="J93" s="113"/>
    </row>
    <row r="94" spans="1:10" ht="24" thickBot="1" x14ac:dyDescent="0.25">
      <c r="A94" s="429" t="s">
        <v>165</v>
      </c>
      <c r="B94" s="430"/>
      <c r="C94" s="98"/>
      <c r="D94" s="92" t="s">
        <v>166</v>
      </c>
      <c r="E94" s="431"/>
      <c r="F94" s="431"/>
      <c r="G94" s="431"/>
      <c r="H94" s="431"/>
      <c r="I94" s="431"/>
      <c r="J94" s="432"/>
    </row>
    <row r="95" spans="1:10" ht="14.45" customHeight="1" x14ac:dyDescent="0.2">
      <c r="A95" s="103"/>
      <c r="B95" s="100" t="s">
        <v>60</v>
      </c>
      <c r="C95" s="94" t="s">
        <v>96</v>
      </c>
      <c r="D95" s="94" t="s">
        <v>97</v>
      </c>
      <c r="E95" s="93" t="s">
        <v>162</v>
      </c>
      <c r="F95" s="93" t="s">
        <v>163</v>
      </c>
      <c r="G95" s="93" t="s">
        <v>164</v>
      </c>
      <c r="H95" s="93" t="s">
        <v>221</v>
      </c>
      <c r="I95" s="93" t="s">
        <v>220</v>
      </c>
      <c r="J95" s="226" t="s">
        <v>161</v>
      </c>
    </row>
    <row r="96" spans="1:10" ht="23.25" x14ac:dyDescent="0.2">
      <c r="A96" s="268" t="str">
        <f>'1-zapasy'!A35</f>
        <v>A5-1</v>
      </c>
      <c r="B96" s="101"/>
      <c r="C96" s="99"/>
      <c r="D96" s="99"/>
      <c r="E96" s="225"/>
      <c r="F96" s="96"/>
      <c r="G96" s="96"/>
      <c r="H96" s="96"/>
      <c r="I96" s="96"/>
      <c r="J96" s="113"/>
    </row>
    <row r="97" spans="1:14" ht="24" thickBot="1" x14ac:dyDescent="0.25">
      <c r="A97" s="429" t="s">
        <v>165</v>
      </c>
      <c r="B97" s="430"/>
      <c r="C97" s="98"/>
      <c r="D97" s="92" t="s">
        <v>166</v>
      </c>
      <c r="E97" s="431"/>
      <c r="F97" s="431"/>
      <c r="G97" s="431"/>
      <c r="H97" s="431"/>
      <c r="I97" s="431"/>
      <c r="J97" s="432"/>
    </row>
    <row r="98" spans="1:14" ht="13.5" thickBot="1" x14ac:dyDescent="0.25"/>
    <row r="99" spans="1:14" ht="14.45" customHeight="1" x14ac:dyDescent="0.2">
      <c r="A99" s="103"/>
      <c r="B99" s="100" t="s">
        <v>60</v>
      </c>
      <c r="C99" s="94" t="s">
        <v>96</v>
      </c>
      <c r="D99" s="94" t="s">
        <v>97</v>
      </c>
      <c r="E99" s="93" t="s">
        <v>162</v>
      </c>
      <c r="F99" s="93" t="s">
        <v>163</v>
      </c>
      <c r="G99" s="93" t="s">
        <v>164</v>
      </c>
      <c r="H99" s="93" t="s">
        <v>221</v>
      </c>
      <c r="I99" s="93" t="s">
        <v>220</v>
      </c>
      <c r="J99" s="226" t="s">
        <v>161</v>
      </c>
    </row>
    <row r="100" spans="1:14" ht="23.25" x14ac:dyDescent="0.2">
      <c r="A100" s="268" t="str">
        <f>'1-zapasy'!A36</f>
        <v>A5-2</v>
      </c>
      <c r="B100" s="101"/>
      <c r="C100" s="99"/>
      <c r="D100" s="99"/>
      <c r="E100" s="96"/>
      <c r="F100" s="96"/>
      <c r="G100" s="96"/>
      <c r="H100" s="96"/>
      <c r="I100" s="96"/>
      <c r="J100" s="113"/>
      <c r="N100" s="227"/>
    </row>
    <row r="101" spans="1:14" ht="24" thickBot="1" x14ac:dyDescent="0.25">
      <c r="A101" s="429" t="s">
        <v>165</v>
      </c>
      <c r="B101" s="430"/>
      <c r="C101" s="98"/>
      <c r="D101" s="92" t="s">
        <v>166</v>
      </c>
      <c r="E101" s="431"/>
      <c r="F101" s="431"/>
      <c r="G101" s="431"/>
      <c r="H101" s="431"/>
      <c r="I101" s="431"/>
      <c r="J101" s="432"/>
    </row>
    <row r="102" spans="1:14" ht="12" customHeight="1" thickBot="1" x14ac:dyDescent="0.25">
      <c r="A102" s="105"/>
    </row>
    <row r="103" spans="1:14" ht="14.45" customHeight="1" x14ac:dyDescent="0.2">
      <c r="A103" s="103"/>
      <c r="B103" s="100" t="s">
        <v>60</v>
      </c>
      <c r="C103" s="94" t="s">
        <v>96</v>
      </c>
      <c r="D103" s="94" t="s">
        <v>97</v>
      </c>
      <c r="E103" s="93" t="s">
        <v>162</v>
      </c>
      <c r="F103" s="93" t="s">
        <v>163</v>
      </c>
      <c r="G103" s="93" t="s">
        <v>164</v>
      </c>
      <c r="H103" s="93" t="s">
        <v>221</v>
      </c>
      <c r="I103" s="93" t="s">
        <v>220</v>
      </c>
      <c r="J103" s="226" t="s">
        <v>161</v>
      </c>
    </row>
    <row r="104" spans="1:14" ht="23.25" x14ac:dyDescent="0.2">
      <c r="A104" s="268" t="str">
        <f>'1-zapasy'!A37</f>
        <v>A5-3</v>
      </c>
      <c r="B104" s="101"/>
      <c r="C104" s="99"/>
      <c r="D104" s="99"/>
      <c r="E104" s="96"/>
      <c r="F104" s="96"/>
      <c r="G104" s="96"/>
      <c r="H104" s="96"/>
      <c r="I104" s="96"/>
      <c r="J104" s="113"/>
    </row>
    <row r="105" spans="1:14" ht="24" thickBot="1" x14ac:dyDescent="0.25">
      <c r="A105" s="429" t="s">
        <v>165</v>
      </c>
      <c r="B105" s="430"/>
      <c r="C105" s="98"/>
      <c r="D105" s="92" t="s">
        <v>166</v>
      </c>
      <c r="E105" s="431"/>
      <c r="F105" s="431"/>
      <c r="G105" s="431"/>
      <c r="H105" s="431"/>
      <c r="I105" s="431"/>
      <c r="J105" s="432"/>
    </row>
    <row r="106" spans="1:14" ht="12" customHeight="1" thickBot="1" x14ac:dyDescent="0.25"/>
    <row r="107" spans="1:14" ht="14.45" customHeight="1" x14ac:dyDescent="0.2">
      <c r="A107" s="103"/>
      <c r="B107" s="100" t="s">
        <v>60</v>
      </c>
      <c r="C107" s="94" t="s">
        <v>96</v>
      </c>
      <c r="D107" s="94" t="s">
        <v>97</v>
      </c>
      <c r="E107" s="93" t="s">
        <v>162</v>
      </c>
      <c r="F107" s="93" t="s">
        <v>163</v>
      </c>
      <c r="G107" s="93" t="s">
        <v>164</v>
      </c>
      <c r="H107" s="93" t="s">
        <v>221</v>
      </c>
      <c r="I107" s="93" t="s">
        <v>220</v>
      </c>
      <c r="J107" s="226" t="s">
        <v>161</v>
      </c>
    </row>
    <row r="108" spans="1:14" ht="23.25" x14ac:dyDescent="0.2">
      <c r="A108" s="268" t="str">
        <f>'1-zapasy'!A38</f>
        <v>A5-4</v>
      </c>
      <c r="B108" s="101"/>
      <c r="C108" s="99"/>
      <c r="D108" s="99"/>
      <c r="E108" s="96"/>
      <c r="F108" s="96"/>
      <c r="G108" s="96"/>
      <c r="H108" s="96"/>
      <c r="I108" s="96"/>
      <c r="J108" s="113"/>
    </row>
    <row r="109" spans="1:14" ht="24" thickBot="1" x14ac:dyDescent="0.25">
      <c r="A109" s="429" t="s">
        <v>165</v>
      </c>
      <c r="B109" s="430"/>
      <c r="C109" s="98"/>
      <c r="D109" s="92" t="s">
        <v>166</v>
      </c>
      <c r="E109" s="431"/>
      <c r="F109" s="431"/>
      <c r="G109" s="431"/>
      <c r="H109" s="431"/>
      <c r="I109" s="431"/>
      <c r="J109" s="432"/>
    </row>
    <row r="110" spans="1:14" ht="12" customHeight="1" thickBot="1" x14ac:dyDescent="0.25">
      <c r="A110" s="105"/>
    </row>
    <row r="111" spans="1:14" ht="14.45" customHeight="1" x14ac:dyDescent="0.2">
      <c r="A111" s="103"/>
      <c r="B111" s="100" t="s">
        <v>60</v>
      </c>
      <c r="C111" s="94" t="s">
        <v>96</v>
      </c>
      <c r="D111" s="94" t="s">
        <v>97</v>
      </c>
      <c r="E111" s="93" t="s">
        <v>162</v>
      </c>
      <c r="F111" s="93" t="s">
        <v>163</v>
      </c>
      <c r="G111" s="93" t="s">
        <v>164</v>
      </c>
      <c r="H111" s="93" t="s">
        <v>221</v>
      </c>
      <c r="I111" s="93" t="s">
        <v>220</v>
      </c>
      <c r="J111" s="226" t="s">
        <v>161</v>
      </c>
    </row>
    <row r="112" spans="1:14" ht="23.25" x14ac:dyDescent="0.2">
      <c r="A112" s="268" t="str">
        <f>'1-zapasy'!A39</f>
        <v>A5-5</v>
      </c>
      <c r="B112" s="101"/>
      <c r="C112" s="99"/>
      <c r="D112" s="99"/>
      <c r="E112" s="96"/>
      <c r="F112" s="96"/>
      <c r="G112" s="96"/>
      <c r="H112" s="96"/>
      <c r="I112" s="96"/>
      <c r="J112" s="113"/>
    </row>
    <row r="113" spans="1:10" ht="24" thickBot="1" x14ac:dyDescent="0.25">
      <c r="A113" s="429" t="s">
        <v>165</v>
      </c>
      <c r="B113" s="430"/>
      <c r="C113" s="98"/>
      <c r="D113" s="92" t="s">
        <v>166</v>
      </c>
      <c r="E113" s="431"/>
      <c r="F113" s="431"/>
      <c r="G113" s="431"/>
      <c r="H113" s="431"/>
      <c r="I113" s="431"/>
      <c r="J113" s="432"/>
    </row>
    <row r="114" spans="1:10" ht="13.5" thickBot="1" x14ac:dyDescent="0.25"/>
    <row r="115" spans="1:10" ht="14.45" customHeight="1" x14ac:dyDescent="0.2">
      <c r="A115" s="103"/>
      <c r="B115" s="100" t="s">
        <v>60</v>
      </c>
      <c r="C115" s="94" t="s">
        <v>96</v>
      </c>
      <c r="D115" s="94" t="s">
        <v>97</v>
      </c>
      <c r="E115" s="93" t="s">
        <v>162</v>
      </c>
      <c r="F115" s="93" t="s">
        <v>163</v>
      </c>
      <c r="G115" s="93" t="s">
        <v>164</v>
      </c>
      <c r="H115" s="93" t="s">
        <v>221</v>
      </c>
      <c r="I115" s="93" t="s">
        <v>220</v>
      </c>
      <c r="J115" s="226" t="s">
        <v>161</v>
      </c>
    </row>
    <row r="116" spans="1:10" ht="23.25" x14ac:dyDescent="0.2">
      <c r="A116" s="268" t="str">
        <f>'1-zapasy'!A40</f>
        <v>A5-6</v>
      </c>
      <c r="B116" s="101"/>
      <c r="C116" s="99"/>
      <c r="D116" s="99"/>
      <c r="E116" s="96"/>
      <c r="F116" s="96"/>
      <c r="G116" s="96"/>
      <c r="H116" s="96"/>
      <c r="I116" s="96"/>
      <c r="J116" s="113"/>
    </row>
    <row r="117" spans="1:10" ht="24" thickBot="1" x14ac:dyDescent="0.25">
      <c r="A117" s="429" t="s">
        <v>165</v>
      </c>
      <c r="B117" s="430"/>
      <c r="C117" s="98"/>
      <c r="D117" s="92" t="s">
        <v>166</v>
      </c>
      <c r="E117" s="431"/>
      <c r="F117" s="431"/>
      <c r="G117" s="431"/>
      <c r="H117" s="431"/>
      <c r="I117" s="431"/>
      <c r="J117" s="432"/>
    </row>
    <row r="118" spans="1:10" ht="12" customHeight="1" thickBot="1" x14ac:dyDescent="0.25">
      <c r="A118" s="105"/>
    </row>
    <row r="119" spans="1:10" x14ac:dyDescent="0.2">
      <c r="A119" s="103"/>
      <c r="B119" s="100" t="s">
        <v>60</v>
      </c>
      <c r="C119" s="94" t="s">
        <v>96</v>
      </c>
      <c r="D119" s="94" t="s">
        <v>97</v>
      </c>
      <c r="E119" s="93" t="s">
        <v>162</v>
      </c>
      <c r="F119" s="93" t="s">
        <v>163</v>
      </c>
      <c r="G119" s="93" t="s">
        <v>164</v>
      </c>
      <c r="H119" s="93" t="s">
        <v>221</v>
      </c>
      <c r="I119" s="93" t="s">
        <v>220</v>
      </c>
      <c r="J119" s="226" t="s">
        <v>161</v>
      </c>
    </row>
    <row r="120" spans="1:10" ht="23.25" x14ac:dyDescent="0.2">
      <c r="A120" s="268" t="str">
        <f>'1-zapasy'!A43</f>
        <v>A6-1</v>
      </c>
      <c r="B120" s="101"/>
      <c r="C120" s="99"/>
      <c r="D120" s="99"/>
      <c r="E120" s="225"/>
      <c r="F120" s="96"/>
      <c r="G120" s="96"/>
      <c r="H120" s="96"/>
      <c r="I120" s="96"/>
      <c r="J120" s="113"/>
    </row>
    <row r="121" spans="1:10" ht="24" thickBot="1" x14ac:dyDescent="0.25">
      <c r="A121" s="429" t="s">
        <v>165</v>
      </c>
      <c r="B121" s="430"/>
      <c r="C121" s="98"/>
      <c r="D121" s="92" t="s">
        <v>166</v>
      </c>
      <c r="E121" s="431"/>
      <c r="F121" s="431"/>
      <c r="G121" s="431"/>
      <c r="H121" s="431"/>
      <c r="I121" s="431"/>
      <c r="J121" s="432"/>
    </row>
    <row r="122" spans="1:10" ht="13.5" thickBot="1" x14ac:dyDescent="0.25"/>
    <row r="123" spans="1:10" x14ac:dyDescent="0.2">
      <c r="A123" s="103"/>
      <c r="B123" s="100" t="s">
        <v>60</v>
      </c>
      <c r="C123" s="94" t="s">
        <v>96</v>
      </c>
      <c r="D123" s="94" t="s">
        <v>97</v>
      </c>
      <c r="E123" s="93" t="s">
        <v>162</v>
      </c>
      <c r="F123" s="93" t="s">
        <v>163</v>
      </c>
      <c r="G123" s="93" t="s">
        <v>164</v>
      </c>
      <c r="H123" s="93" t="s">
        <v>221</v>
      </c>
      <c r="I123" s="93" t="s">
        <v>220</v>
      </c>
      <c r="J123" s="226" t="s">
        <v>161</v>
      </c>
    </row>
    <row r="124" spans="1:10" ht="23.25" x14ac:dyDescent="0.2">
      <c r="A124" s="268" t="str">
        <f>'1-zapasy'!A44</f>
        <v>A6-2</v>
      </c>
      <c r="B124" s="101"/>
      <c r="C124" s="99"/>
      <c r="D124" s="99"/>
      <c r="E124" s="96"/>
      <c r="F124" s="96"/>
      <c r="G124" s="96"/>
      <c r="H124" s="96"/>
      <c r="I124" s="96"/>
      <c r="J124" s="113"/>
    </row>
    <row r="125" spans="1:10" ht="24" thickBot="1" x14ac:dyDescent="0.25">
      <c r="A125" s="429" t="s">
        <v>165</v>
      </c>
      <c r="B125" s="430"/>
      <c r="C125" s="98"/>
      <c r="D125" s="92" t="s">
        <v>166</v>
      </c>
      <c r="E125" s="431"/>
      <c r="F125" s="431"/>
      <c r="G125" s="431"/>
      <c r="H125" s="431"/>
      <c r="I125" s="431"/>
      <c r="J125" s="432"/>
    </row>
    <row r="126" spans="1:10" ht="13.5" thickBot="1" x14ac:dyDescent="0.25">
      <c r="A126" s="105"/>
    </row>
    <row r="127" spans="1:10" x14ac:dyDescent="0.2">
      <c r="A127" s="103"/>
      <c r="B127" s="100" t="s">
        <v>60</v>
      </c>
      <c r="C127" s="94" t="s">
        <v>96</v>
      </c>
      <c r="D127" s="94" t="s">
        <v>97</v>
      </c>
      <c r="E127" s="93" t="s">
        <v>162</v>
      </c>
      <c r="F127" s="93" t="s">
        <v>163</v>
      </c>
      <c r="G127" s="93" t="s">
        <v>164</v>
      </c>
      <c r="H127" s="93" t="s">
        <v>221</v>
      </c>
      <c r="I127" s="93" t="s">
        <v>220</v>
      </c>
      <c r="J127" s="226" t="s">
        <v>161</v>
      </c>
    </row>
    <row r="128" spans="1:10" ht="23.25" x14ac:dyDescent="0.2">
      <c r="A128" s="268" t="str">
        <f>'1-zapasy'!A45</f>
        <v>A6-3</v>
      </c>
      <c r="B128" s="101"/>
      <c r="C128" s="99"/>
      <c r="D128" s="99"/>
      <c r="E128" s="96"/>
      <c r="F128" s="96"/>
      <c r="G128" s="96"/>
      <c r="H128" s="96"/>
      <c r="I128" s="96"/>
      <c r="J128" s="113"/>
    </row>
    <row r="129" spans="1:10" ht="24" thickBot="1" x14ac:dyDescent="0.25">
      <c r="A129" s="429" t="s">
        <v>165</v>
      </c>
      <c r="B129" s="430"/>
      <c r="C129" s="98"/>
      <c r="D129" s="92" t="s">
        <v>166</v>
      </c>
      <c r="E129" s="431"/>
      <c r="F129" s="431"/>
      <c r="G129" s="431"/>
      <c r="H129" s="431"/>
      <c r="I129" s="431"/>
      <c r="J129" s="432"/>
    </row>
    <row r="130" spans="1:10" ht="13.5" thickBot="1" x14ac:dyDescent="0.25">
      <c r="A130" s="105"/>
    </row>
    <row r="131" spans="1:10" x14ac:dyDescent="0.2">
      <c r="A131" s="103"/>
      <c r="B131" s="100" t="s">
        <v>60</v>
      </c>
      <c r="C131" s="94" t="s">
        <v>96</v>
      </c>
      <c r="D131" s="94" t="s">
        <v>97</v>
      </c>
      <c r="E131" s="93" t="s">
        <v>162</v>
      </c>
      <c r="F131" s="93" t="s">
        <v>163</v>
      </c>
      <c r="G131" s="93" t="s">
        <v>164</v>
      </c>
      <c r="H131" s="93" t="s">
        <v>221</v>
      </c>
      <c r="I131" s="93" t="s">
        <v>220</v>
      </c>
      <c r="J131" s="226" t="s">
        <v>161</v>
      </c>
    </row>
    <row r="132" spans="1:10" ht="23.25" x14ac:dyDescent="0.2">
      <c r="A132" s="268" t="str">
        <f>'1-zapasy'!A46</f>
        <v>A6-4</v>
      </c>
      <c r="B132" s="101"/>
      <c r="C132" s="99"/>
      <c r="D132" s="99"/>
      <c r="E132" s="96"/>
      <c r="F132" s="96"/>
      <c r="G132" s="96"/>
      <c r="H132" s="96"/>
      <c r="I132" s="96"/>
      <c r="J132" s="113"/>
    </row>
    <row r="133" spans="1:10" ht="24" thickBot="1" x14ac:dyDescent="0.25">
      <c r="A133" s="429" t="s">
        <v>165</v>
      </c>
      <c r="B133" s="430"/>
      <c r="C133" s="98"/>
      <c r="D133" s="92" t="s">
        <v>166</v>
      </c>
      <c r="E133" s="431"/>
      <c r="F133" s="431"/>
      <c r="G133" s="431"/>
      <c r="H133" s="431"/>
      <c r="I133" s="431"/>
      <c r="J133" s="432"/>
    </row>
    <row r="134" spans="1:10" ht="13.5" thickBot="1" x14ac:dyDescent="0.25">
      <c r="A134" s="105"/>
    </row>
    <row r="135" spans="1:10" x14ac:dyDescent="0.2">
      <c r="A135" s="103"/>
      <c r="B135" s="100" t="s">
        <v>60</v>
      </c>
      <c r="C135" s="94" t="s">
        <v>96</v>
      </c>
      <c r="D135" s="94" t="s">
        <v>97</v>
      </c>
      <c r="E135" s="93" t="s">
        <v>162</v>
      </c>
      <c r="F135" s="93" t="s">
        <v>163</v>
      </c>
      <c r="G135" s="93" t="s">
        <v>164</v>
      </c>
      <c r="H135" s="93" t="s">
        <v>221</v>
      </c>
      <c r="I135" s="93" t="s">
        <v>220</v>
      </c>
      <c r="J135" s="226" t="s">
        <v>161</v>
      </c>
    </row>
    <row r="136" spans="1:10" ht="23.25" x14ac:dyDescent="0.2">
      <c r="A136" s="268" t="str">
        <f>'1-zapasy'!A47</f>
        <v>A6-5</v>
      </c>
      <c r="B136" s="101"/>
      <c r="C136" s="99"/>
      <c r="D136" s="99"/>
      <c r="E136" s="96"/>
      <c r="F136" s="96"/>
      <c r="G136" s="96"/>
      <c r="H136" s="96"/>
      <c r="I136" s="96"/>
      <c r="J136" s="113"/>
    </row>
    <row r="137" spans="1:10" ht="24" thickBot="1" x14ac:dyDescent="0.25">
      <c r="A137" s="429" t="s">
        <v>165</v>
      </c>
      <c r="B137" s="430"/>
      <c r="C137" s="98"/>
      <c r="D137" s="92" t="s">
        <v>166</v>
      </c>
      <c r="E137" s="431"/>
      <c r="F137" s="431"/>
      <c r="G137" s="431"/>
      <c r="H137" s="431"/>
      <c r="I137" s="431"/>
      <c r="J137" s="432"/>
    </row>
    <row r="138" spans="1:10" ht="13.5" thickBot="1" x14ac:dyDescent="0.25"/>
    <row r="139" spans="1:10" x14ac:dyDescent="0.2">
      <c r="A139" s="103"/>
      <c r="B139" s="100" t="s">
        <v>60</v>
      </c>
      <c r="C139" s="94" t="s">
        <v>96</v>
      </c>
      <c r="D139" s="94" t="s">
        <v>97</v>
      </c>
      <c r="E139" s="93" t="s">
        <v>162</v>
      </c>
      <c r="F139" s="93" t="s">
        <v>163</v>
      </c>
      <c r="G139" s="93" t="s">
        <v>164</v>
      </c>
      <c r="H139" s="93" t="s">
        <v>221</v>
      </c>
      <c r="I139" s="93" t="s">
        <v>220</v>
      </c>
      <c r="J139" s="226" t="s">
        <v>161</v>
      </c>
    </row>
    <row r="140" spans="1:10" ht="23.25" x14ac:dyDescent="0.2">
      <c r="A140" s="268" t="str">
        <f>'1-zapasy'!A48</f>
        <v>A6-6</v>
      </c>
      <c r="B140" s="101"/>
      <c r="C140" s="99"/>
      <c r="D140" s="99"/>
      <c r="E140" s="96"/>
      <c r="F140" s="96"/>
      <c r="G140" s="96"/>
      <c r="H140" s="96"/>
      <c r="I140" s="96"/>
      <c r="J140" s="113"/>
    </row>
    <row r="141" spans="1:10" ht="24" thickBot="1" x14ac:dyDescent="0.25">
      <c r="A141" s="429" t="s">
        <v>165</v>
      </c>
      <c r="B141" s="430"/>
      <c r="C141" s="98"/>
      <c r="D141" s="92" t="s">
        <v>166</v>
      </c>
      <c r="E141" s="431"/>
      <c r="F141" s="431"/>
      <c r="G141" s="431"/>
      <c r="H141" s="431"/>
      <c r="I141" s="431"/>
      <c r="J141" s="432"/>
    </row>
    <row r="142" spans="1:10" x14ac:dyDescent="0.2">
      <c r="A142" s="103"/>
      <c r="B142" s="100" t="s">
        <v>60</v>
      </c>
      <c r="C142" s="94" t="s">
        <v>96</v>
      </c>
      <c r="D142" s="94" t="s">
        <v>97</v>
      </c>
      <c r="E142" s="93" t="s">
        <v>162</v>
      </c>
      <c r="F142" s="93" t="s">
        <v>163</v>
      </c>
      <c r="G142" s="93" t="s">
        <v>164</v>
      </c>
      <c r="H142" s="93" t="s">
        <v>221</v>
      </c>
      <c r="I142" s="93" t="s">
        <v>220</v>
      </c>
      <c r="J142" s="226" t="s">
        <v>161</v>
      </c>
    </row>
    <row r="143" spans="1:10" ht="23.25" x14ac:dyDescent="0.2">
      <c r="A143" s="268" t="str">
        <f>'1-zapasy'!A51</f>
        <v>A7-1</v>
      </c>
      <c r="B143" s="101"/>
      <c r="C143" s="99"/>
      <c r="D143" s="99"/>
      <c r="E143" s="225"/>
      <c r="F143" s="96"/>
      <c r="G143" s="96"/>
      <c r="H143" s="96"/>
      <c r="I143" s="96"/>
      <c r="J143" s="113"/>
    </row>
    <row r="144" spans="1:10" ht="24" thickBot="1" x14ac:dyDescent="0.25">
      <c r="A144" s="429" t="s">
        <v>165</v>
      </c>
      <c r="B144" s="430"/>
      <c r="C144" s="98"/>
      <c r="D144" s="92" t="s">
        <v>166</v>
      </c>
      <c r="E144" s="431"/>
      <c r="F144" s="431"/>
      <c r="G144" s="431"/>
      <c r="H144" s="431"/>
      <c r="I144" s="431"/>
      <c r="J144" s="432"/>
    </row>
    <row r="145" spans="1:10" ht="13.5" thickBot="1" x14ac:dyDescent="0.25"/>
    <row r="146" spans="1:10" x14ac:dyDescent="0.2">
      <c r="A146" s="103"/>
      <c r="B146" s="100" t="s">
        <v>60</v>
      </c>
      <c r="C146" s="94" t="s">
        <v>96</v>
      </c>
      <c r="D146" s="94" t="s">
        <v>97</v>
      </c>
      <c r="E146" s="93" t="s">
        <v>162</v>
      </c>
      <c r="F146" s="93" t="s">
        <v>163</v>
      </c>
      <c r="G146" s="93" t="s">
        <v>164</v>
      </c>
      <c r="H146" s="93" t="s">
        <v>221</v>
      </c>
      <c r="I146" s="93" t="s">
        <v>220</v>
      </c>
      <c r="J146" s="226" t="s">
        <v>161</v>
      </c>
    </row>
    <row r="147" spans="1:10" ht="23.25" x14ac:dyDescent="0.2">
      <c r="A147" s="268" t="str">
        <f>'1-zapasy'!A52</f>
        <v>A7-2</v>
      </c>
      <c r="B147" s="101"/>
      <c r="C147" s="99"/>
      <c r="D147" s="99"/>
      <c r="E147" s="96"/>
      <c r="F147" s="96"/>
      <c r="G147" s="96"/>
      <c r="H147" s="96"/>
      <c r="I147" s="96"/>
      <c r="J147" s="113"/>
    </row>
    <row r="148" spans="1:10" ht="24" thickBot="1" x14ac:dyDescent="0.25">
      <c r="A148" s="429" t="s">
        <v>165</v>
      </c>
      <c r="B148" s="430"/>
      <c r="C148" s="98"/>
      <c r="D148" s="92" t="s">
        <v>166</v>
      </c>
      <c r="E148" s="431"/>
      <c r="F148" s="431"/>
      <c r="G148" s="431"/>
      <c r="H148" s="431"/>
      <c r="I148" s="431"/>
      <c r="J148" s="432"/>
    </row>
    <row r="149" spans="1:10" ht="13.5" thickBot="1" x14ac:dyDescent="0.25">
      <c r="A149" s="105"/>
    </row>
    <row r="150" spans="1:10" x14ac:dyDescent="0.2">
      <c r="A150" s="103"/>
      <c r="B150" s="100" t="s">
        <v>60</v>
      </c>
      <c r="C150" s="94" t="s">
        <v>96</v>
      </c>
      <c r="D150" s="94" t="s">
        <v>97</v>
      </c>
      <c r="E150" s="93" t="s">
        <v>162</v>
      </c>
      <c r="F150" s="93" t="s">
        <v>163</v>
      </c>
      <c r="G150" s="93" t="s">
        <v>164</v>
      </c>
      <c r="H150" s="93" t="s">
        <v>221</v>
      </c>
      <c r="I150" s="93" t="s">
        <v>220</v>
      </c>
      <c r="J150" s="226" t="s">
        <v>161</v>
      </c>
    </row>
    <row r="151" spans="1:10" ht="23.25" x14ac:dyDescent="0.2">
      <c r="A151" s="268" t="str">
        <f>'1-zapasy'!A53</f>
        <v>A7-3</v>
      </c>
      <c r="B151" s="101"/>
      <c r="C151" s="99"/>
      <c r="D151" s="99"/>
      <c r="E151" s="96"/>
      <c r="F151" s="96"/>
      <c r="G151" s="96"/>
      <c r="H151" s="96"/>
      <c r="I151" s="96"/>
      <c r="J151" s="113"/>
    </row>
    <row r="152" spans="1:10" ht="24" thickBot="1" x14ac:dyDescent="0.25">
      <c r="A152" s="429" t="s">
        <v>165</v>
      </c>
      <c r="B152" s="430"/>
      <c r="C152" s="98"/>
      <c r="D152" s="92" t="s">
        <v>166</v>
      </c>
      <c r="E152" s="431"/>
      <c r="F152" s="431"/>
      <c r="G152" s="431"/>
      <c r="H152" s="431"/>
      <c r="I152" s="431"/>
      <c r="J152" s="432"/>
    </row>
    <row r="153" spans="1:10" ht="13.5" thickBot="1" x14ac:dyDescent="0.25"/>
    <row r="154" spans="1:10" x14ac:dyDescent="0.2">
      <c r="A154" s="103"/>
      <c r="B154" s="100" t="s">
        <v>60</v>
      </c>
      <c r="C154" s="94" t="s">
        <v>96</v>
      </c>
      <c r="D154" s="94" t="s">
        <v>97</v>
      </c>
      <c r="E154" s="93" t="s">
        <v>162</v>
      </c>
      <c r="F154" s="93" t="s">
        <v>163</v>
      </c>
      <c r="G154" s="93" t="s">
        <v>164</v>
      </c>
      <c r="H154" s="93" t="s">
        <v>221</v>
      </c>
      <c r="I154" s="93" t="s">
        <v>220</v>
      </c>
      <c r="J154" s="226" t="s">
        <v>161</v>
      </c>
    </row>
    <row r="155" spans="1:10" ht="23.25" x14ac:dyDescent="0.2">
      <c r="A155" s="268" t="str">
        <f>'1-zapasy'!A54</f>
        <v>A7-4</v>
      </c>
      <c r="B155" s="101"/>
      <c r="C155" s="99"/>
      <c r="D155" s="99"/>
      <c r="E155" s="96"/>
      <c r="F155" s="96"/>
      <c r="G155" s="96"/>
      <c r="H155" s="96"/>
      <c r="I155" s="96"/>
      <c r="J155" s="113"/>
    </row>
    <row r="156" spans="1:10" ht="24" thickBot="1" x14ac:dyDescent="0.25">
      <c r="A156" s="429" t="s">
        <v>165</v>
      </c>
      <c r="B156" s="430"/>
      <c r="C156" s="98"/>
      <c r="D156" s="92" t="s">
        <v>166</v>
      </c>
      <c r="E156" s="431"/>
      <c r="F156" s="431"/>
      <c r="G156" s="431"/>
      <c r="H156" s="431"/>
      <c r="I156" s="431"/>
      <c r="J156" s="432"/>
    </row>
    <row r="157" spans="1:10" ht="13.5" thickBot="1" x14ac:dyDescent="0.25">
      <c r="A157" s="105"/>
    </row>
    <row r="158" spans="1:10" x14ac:dyDescent="0.2">
      <c r="A158" s="103"/>
      <c r="B158" s="100" t="s">
        <v>60</v>
      </c>
      <c r="C158" s="94" t="s">
        <v>96</v>
      </c>
      <c r="D158" s="94" t="s">
        <v>97</v>
      </c>
      <c r="E158" s="93" t="s">
        <v>162</v>
      </c>
      <c r="F158" s="93" t="s">
        <v>163</v>
      </c>
      <c r="G158" s="93" t="s">
        <v>164</v>
      </c>
      <c r="H158" s="93" t="s">
        <v>221</v>
      </c>
      <c r="I158" s="93" t="s">
        <v>220</v>
      </c>
      <c r="J158" s="226" t="s">
        <v>161</v>
      </c>
    </row>
    <row r="159" spans="1:10" ht="23.25" x14ac:dyDescent="0.2">
      <c r="A159" s="268" t="str">
        <f>'1-zapasy'!A55</f>
        <v>A7-5</v>
      </c>
      <c r="B159" s="101"/>
      <c r="C159" s="99"/>
      <c r="D159" s="99"/>
      <c r="E159" s="96"/>
      <c r="F159" s="96"/>
      <c r="G159" s="96"/>
      <c r="H159" s="96"/>
      <c r="I159" s="96"/>
      <c r="J159" s="113"/>
    </row>
    <row r="160" spans="1:10" ht="24" thickBot="1" x14ac:dyDescent="0.25">
      <c r="A160" s="429" t="s">
        <v>165</v>
      </c>
      <c r="B160" s="430"/>
      <c r="C160" s="98"/>
      <c r="D160" s="92" t="s">
        <v>166</v>
      </c>
      <c r="E160" s="431"/>
      <c r="F160" s="431"/>
      <c r="G160" s="431"/>
      <c r="H160" s="431"/>
      <c r="I160" s="431"/>
      <c r="J160" s="432"/>
    </row>
    <row r="161" spans="1:10" ht="13.5" thickBot="1" x14ac:dyDescent="0.25"/>
    <row r="162" spans="1:10" x14ac:dyDescent="0.2">
      <c r="A162" s="103"/>
      <c r="B162" s="100" t="s">
        <v>60</v>
      </c>
      <c r="C162" s="94" t="s">
        <v>96</v>
      </c>
      <c r="D162" s="94" t="s">
        <v>97</v>
      </c>
      <c r="E162" s="93" t="s">
        <v>162</v>
      </c>
      <c r="F162" s="93" t="s">
        <v>163</v>
      </c>
      <c r="G162" s="93" t="s">
        <v>164</v>
      </c>
      <c r="H162" s="93" t="s">
        <v>221</v>
      </c>
      <c r="I162" s="93" t="s">
        <v>220</v>
      </c>
      <c r="J162" s="226" t="s">
        <v>161</v>
      </c>
    </row>
    <row r="163" spans="1:10" ht="23.25" x14ac:dyDescent="0.2">
      <c r="A163" s="268" t="str">
        <f>'1-zapasy'!A56</f>
        <v>A7-6</v>
      </c>
      <c r="B163" s="101"/>
      <c r="C163" s="99"/>
      <c r="D163" s="99"/>
      <c r="E163" s="96"/>
      <c r="F163" s="96"/>
      <c r="G163" s="96"/>
      <c r="H163" s="96"/>
      <c r="I163" s="96"/>
      <c r="J163" s="113"/>
    </row>
    <row r="164" spans="1:10" ht="24" thickBot="1" x14ac:dyDescent="0.25">
      <c r="A164" s="429" t="s">
        <v>165</v>
      </c>
      <c r="B164" s="430"/>
      <c r="C164" s="98"/>
      <c r="D164" s="92" t="s">
        <v>166</v>
      </c>
      <c r="E164" s="431"/>
      <c r="F164" s="431"/>
      <c r="G164" s="431"/>
      <c r="H164" s="431"/>
      <c r="I164" s="431"/>
      <c r="J164" s="432"/>
    </row>
    <row r="165" spans="1:10" ht="13.5" thickBot="1" x14ac:dyDescent="0.25">
      <c r="A165" s="105"/>
    </row>
    <row r="166" spans="1:10" x14ac:dyDescent="0.2">
      <c r="A166" s="103"/>
      <c r="B166" s="100" t="s">
        <v>60</v>
      </c>
      <c r="C166" s="94" t="s">
        <v>96</v>
      </c>
      <c r="D166" s="94" t="s">
        <v>97</v>
      </c>
      <c r="E166" s="93" t="s">
        <v>162</v>
      </c>
      <c r="F166" s="93" t="s">
        <v>163</v>
      </c>
      <c r="G166" s="93" t="s">
        <v>164</v>
      </c>
      <c r="H166" s="93" t="s">
        <v>221</v>
      </c>
      <c r="I166" s="93" t="s">
        <v>220</v>
      </c>
      <c r="J166" s="226" t="s">
        <v>161</v>
      </c>
    </row>
    <row r="167" spans="1:10" ht="23.25" x14ac:dyDescent="0.2">
      <c r="A167" s="268" t="str">
        <f>'1-zapasy'!A59</f>
        <v>A8-1</v>
      </c>
      <c r="B167" s="101"/>
      <c r="C167" s="99"/>
      <c r="D167" s="99"/>
      <c r="E167" s="225"/>
      <c r="F167" s="96"/>
      <c r="G167" s="96"/>
      <c r="H167" s="96"/>
      <c r="I167" s="96"/>
      <c r="J167" s="113"/>
    </row>
    <row r="168" spans="1:10" ht="24" thickBot="1" x14ac:dyDescent="0.25">
      <c r="A168" s="429" t="s">
        <v>165</v>
      </c>
      <c r="B168" s="430"/>
      <c r="C168" s="98"/>
      <c r="D168" s="92" t="s">
        <v>166</v>
      </c>
      <c r="E168" s="431"/>
      <c r="F168" s="431"/>
      <c r="G168" s="431"/>
      <c r="H168" s="431"/>
      <c r="I168" s="431"/>
      <c r="J168" s="432"/>
    </row>
    <row r="169" spans="1:10" ht="13.5" thickBot="1" x14ac:dyDescent="0.25"/>
    <row r="170" spans="1:10" x14ac:dyDescent="0.2">
      <c r="A170" s="103"/>
      <c r="B170" s="100" t="s">
        <v>60</v>
      </c>
      <c r="C170" s="94" t="s">
        <v>96</v>
      </c>
      <c r="D170" s="94" t="s">
        <v>97</v>
      </c>
      <c r="E170" s="93" t="s">
        <v>162</v>
      </c>
      <c r="F170" s="93" t="s">
        <v>163</v>
      </c>
      <c r="G170" s="93" t="s">
        <v>164</v>
      </c>
      <c r="H170" s="93" t="s">
        <v>221</v>
      </c>
      <c r="I170" s="93" t="s">
        <v>220</v>
      </c>
      <c r="J170" s="226" t="s">
        <v>161</v>
      </c>
    </row>
    <row r="171" spans="1:10" ht="23.25" x14ac:dyDescent="0.2">
      <c r="A171" s="268" t="str">
        <f>'1-zapasy'!A60</f>
        <v>A8-2</v>
      </c>
      <c r="B171" s="101"/>
      <c r="C171" s="99"/>
      <c r="D171" s="99"/>
      <c r="E171" s="96"/>
      <c r="F171" s="96"/>
      <c r="G171" s="96"/>
      <c r="H171" s="96"/>
      <c r="I171" s="96"/>
      <c r="J171" s="113"/>
    </row>
    <row r="172" spans="1:10" ht="24" thickBot="1" x14ac:dyDescent="0.25">
      <c r="A172" s="429" t="s">
        <v>165</v>
      </c>
      <c r="B172" s="430"/>
      <c r="C172" s="98"/>
      <c r="D172" s="92" t="s">
        <v>166</v>
      </c>
      <c r="E172" s="431"/>
      <c r="F172" s="431"/>
      <c r="G172" s="431"/>
      <c r="H172" s="431"/>
      <c r="I172" s="431"/>
      <c r="J172" s="432"/>
    </row>
    <row r="173" spans="1:10" ht="13.5" thickBot="1" x14ac:dyDescent="0.25">
      <c r="A173" s="105"/>
    </row>
    <row r="174" spans="1:10" x14ac:dyDescent="0.2">
      <c r="A174" s="103"/>
      <c r="B174" s="100" t="s">
        <v>60</v>
      </c>
      <c r="C174" s="94" t="s">
        <v>96</v>
      </c>
      <c r="D174" s="94" t="s">
        <v>97</v>
      </c>
      <c r="E174" s="93" t="s">
        <v>162</v>
      </c>
      <c r="F174" s="93" t="s">
        <v>163</v>
      </c>
      <c r="G174" s="93" t="s">
        <v>164</v>
      </c>
      <c r="H174" s="93" t="s">
        <v>221</v>
      </c>
      <c r="I174" s="93" t="s">
        <v>220</v>
      </c>
      <c r="J174" s="226" t="s">
        <v>161</v>
      </c>
    </row>
    <row r="175" spans="1:10" ht="23.25" x14ac:dyDescent="0.2">
      <c r="A175" s="268" t="str">
        <f>'1-zapasy'!A61</f>
        <v>A8-3</v>
      </c>
      <c r="B175" s="101"/>
      <c r="C175" s="99"/>
      <c r="D175" s="99"/>
      <c r="E175" s="96"/>
      <c r="F175" s="96"/>
      <c r="G175" s="96"/>
      <c r="H175" s="96"/>
      <c r="I175" s="96"/>
      <c r="J175" s="113"/>
    </row>
    <row r="176" spans="1:10" ht="24" thickBot="1" x14ac:dyDescent="0.25">
      <c r="A176" s="429" t="s">
        <v>165</v>
      </c>
      <c r="B176" s="430"/>
      <c r="C176" s="98"/>
      <c r="D176" s="92" t="s">
        <v>166</v>
      </c>
      <c r="E176" s="431"/>
      <c r="F176" s="431"/>
      <c r="G176" s="431"/>
      <c r="H176" s="431"/>
      <c r="I176" s="431"/>
      <c r="J176" s="432"/>
    </row>
    <row r="177" spans="1:10" ht="13.5" thickBot="1" x14ac:dyDescent="0.25">
      <c r="A177" s="105"/>
    </row>
    <row r="178" spans="1:10" x14ac:dyDescent="0.2">
      <c r="A178" s="103"/>
      <c r="B178" s="100" t="s">
        <v>60</v>
      </c>
      <c r="C178" s="94" t="s">
        <v>96</v>
      </c>
      <c r="D178" s="94" t="s">
        <v>97</v>
      </c>
      <c r="E178" s="93" t="s">
        <v>162</v>
      </c>
      <c r="F178" s="93" t="s">
        <v>163</v>
      </c>
      <c r="G178" s="93" t="s">
        <v>164</v>
      </c>
      <c r="H178" s="93" t="s">
        <v>221</v>
      </c>
      <c r="I178" s="93" t="s">
        <v>220</v>
      </c>
      <c r="J178" s="226" t="s">
        <v>161</v>
      </c>
    </row>
    <row r="179" spans="1:10" ht="23.25" x14ac:dyDescent="0.2">
      <c r="A179" s="268" t="str">
        <f>'1-zapasy'!A62</f>
        <v>A8-4</v>
      </c>
      <c r="B179" s="101"/>
      <c r="C179" s="99"/>
      <c r="D179" s="99"/>
      <c r="E179" s="96"/>
      <c r="F179" s="96"/>
      <c r="G179" s="96"/>
      <c r="H179" s="96"/>
      <c r="I179" s="96"/>
      <c r="J179" s="113"/>
    </row>
    <row r="180" spans="1:10" ht="24" thickBot="1" x14ac:dyDescent="0.25">
      <c r="A180" s="429" t="s">
        <v>165</v>
      </c>
      <c r="B180" s="430"/>
      <c r="C180" s="98"/>
      <c r="D180" s="92" t="s">
        <v>166</v>
      </c>
      <c r="E180" s="431"/>
      <c r="F180" s="431"/>
      <c r="G180" s="431"/>
      <c r="H180" s="431"/>
      <c r="I180" s="431"/>
      <c r="J180" s="432"/>
    </row>
    <row r="181" spans="1:10" ht="13.5" thickBot="1" x14ac:dyDescent="0.25">
      <c r="A181" s="105"/>
    </row>
    <row r="182" spans="1:10" x14ac:dyDescent="0.2">
      <c r="A182" s="103"/>
      <c r="B182" s="100" t="s">
        <v>60</v>
      </c>
      <c r="C182" s="94" t="s">
        <v>96</v>
      </c>
      <c r="D182" s="94" t="s">
        <v>97</v>
      </c>
      <c r="E182" s="93" t="s">
        <v>162</v>
      </c>
      <c r="F182" s="93" t="s">
        <v>163</v>
      </c>
      <c r="G182" s="93" t="s">
        <v>164</v>
      </c>
      <c r="H182" s="93" t="s">
        <v>221</v>
      </c>
      <c r="I182" s="93" t="s">
        <v>220</v>
      </c>
      <c r="J182" s="226" t="s">
        <v>161</v>
      </c>
    </row>
    <row r="183" spans="1:10" ht="23.25" x14ac:dyDescent="0.2">
      <c r="A183" s="268" t="str">
        <f>'1-zapasy'!A63</f>
        <v>A8-5</v>
      </c>
      <c r="B183" s="101"/>
      <c r="C183" s="99"/>
      <c r="D183" s="99"/>
      <c r="E183" s="96"/>
      <c r="F183" s="96"/>
      <c r="G183" s="96"/>
      <c r="H183" s="96"/>
      <c r="I183" s="96"/>
      <c r="J183" s="113"/>
    </row>
    <row r="184" spans="1:10" ht="24" thickBot="1" x14ac:dyDescent="0.25">
      <c r="A184" s="429" t="s">
        <v>165</v>
      </c>
      <c r="B184" s="430"/>
      <c r="C184" s="98"/>
      <c r="D184" s="92" t="s">
        <v>166</v>
      </c>
      <c r="E184" s="431"/>
      <c r="F184" s="431"/>
      <c r="G184" s="431"/>
      <c r="H184" s="431"/>
      <c r="I184" s="431"/>
      <c r="J184" s="432"/>
    </row>
    <row r="185" spans="1:10" ht="13.5" thickBot="1" x14ac:dyDescent="0.25"/>
    <row r="186" spans="1:10" x14ac:dyDescent="0.2">
      <c r="A186" s="103"/>
      <c r="B186" s="100" t="s">
        <v>60</v>
      </c>
      <c r="C186" s="94" t="s">
        <v>96</v>
      </c>
      <c r="D186" s="94" t="s">
        <v>97</v>
      </c>
      <c r="E186" s="93" t="s">
        <v>162</v>
      </c>
      <c r="F186" s="93" t="s">
        <v>163</v>
      </c>
      <c r="G186" s="93" t="s">
        <v>164</v>
      </c>
      <c r="H186" s="93" t="s">
        <v>221</v>
      </c>
      <c r="I186" s="93" t="s">
        <v>220</v>
      </c>
      <c r="J186" s="226" t="s">
        <v>161</v>
      </c>
    </row>
    <row r="187" spans="1:10" ht="23.25" x14ac:dyDescent="0.2">
      <c r="A187" s="268" t="str">
        <f>'1-zapasy'!A64</f>
        <v>A8-6</v>
      </c>
      <c r="B187" s="101"/>
      <c r="C187" s="99"/>
      <c r="D187" s="99"/>
      <c r="E187" s="96"/>
      <c r="F187" s="96"/>
      <c r="G187" s="96"/>
      <c r="H187" s="96"/>
      <c r="I187" s="96"/>
      <c r="J187" s="113"/>
    </row>
    <row r="188" spans="1:10" ht="24" thickBot="1" x14ac:dyDescent="0.25">
      <c r="A188" s="429" t="s">
        <v>165</v>
      </c>
      <c r="B188" s="430"/>
      <c r="C188" s="98"/>
      <c r="D188" s="92" t="s">
        <v>166</v>
      </c>
      <c r="E188" s="431"/>
      <c r="F188" s="431"/>
      <c r="G188" s="431"/>
      <c r="H188" s="431"/>
      <c r="I188" s="431"/>
      <c r="J188" s="432"/>
    </row>
    <row r="189" spans="1:10" x14ac:dyDescent="0.2">
      <c r="A189" s="103"/>
      <c r="B189" s="100" t="s">
        <v>60</v>
      </c>
      <c r="C189" s="94" t="s">
        <v>96</v>
      </c>
      <c r="D189" s="94" t="s">
        <v>97</v>
      </c>
      <c r="E189" s="93" t="s">
        <v>162</v>
      </c>
      <c r="F189" s="93" t="s">
        <v>163</v>
      </c>
      <c r="G189" s="93" t="s">
        <v>164</v>
      </c>
      <c r="H189" s="93" t="s">
        <v>221</v>
      </c>
      <c r="I189" s="93" t="s">
        <v>220</v>
      </c>
      <c r="J189" s="226" t="s">
        <v>161</v>
      </c>
    </row>
    <row r="190" spans="1:10" ht="23.25" x14ac:dyDescent="0.2">
      <c r="A190" s="268" t="str">
        <f>'1-zapasy'!A67</f>
        <v>B5-1</v>
      </c>
      <c r="B190" s="101"/>
      <c r="C190" s="99"/>
      <c r="D190" s="99"/>
      <c r="E190" s="225"/>
      <c r="F190" s="96"/>
      <c r="G190" s="96"/>
      <c r="H190" s="96"/>
      <c r="I190" s="96"/>
      <c r="J190" s="113"/>
    </row>
    <row r="191" spans="1:10" ht="24" thickBot="1" x14ac:dyDescent="0.25">
      <c r="A191" s="429" t="s">
        <v>165</v>
      </c>
      <c r="B191" s="430"/>
      <c r="C191" s="98"/>
      <c r="D191" s="92" t="s">
        <v>166</v>
      </c>
      <c r="E191" s="431"/>
      <c r="F191" s="431"/>
      <c r="G191" s="431"/>
      <c r="H191" s="431"/>
      <c r="I191" s="431"/>
      <c r="J191" s="432"/>
    </row>
    <row r="192" spans="1:10" ht="13.5" thickBot="1" x14ac:dyDescent="0.25"/>
    <row r="193" spans="1:10" x14ac:dyDescent="0.2">
      <c r="A193" s="103"/>
      <c r="B193" s="100" t="s">
        <v>60</v>
      </c>
      <c r="C193" s="94" t="s">
        <v>96</v>
      </c>
      <c r="D193" s="94" t="s">
        <v>97</v>
      </c>
      <c r="E193" s="93" t="s">
        <v>162</v>
      </c>
      <c r="F193" s="93" t="s">
        <v>163</v>
      </c>
      <c r="G193" s="93" t="s">
        <v>164</v>
      </c>
      <c r="H193" s="93" t="s">
        <v>221</v>
      </c>
      <c r="I193" s="93" t="s">
        <v>220</v>
      </c>
      <c r="J193" s="226" t="s">
        <v>161</v>
      </c>
    </row>
    <row r="194" spans="1:10" ht="23.25" x14ac:dyDescent="0.2">
      <c r="A194" s="268" t="str">
        <f>'1-zapasy'!A68</f>
        <v>B5-2</v>
      </c>
      <c r="B194" s="101"/>
      <c r="C194" s="99"/>
      <c r="D194" s="99"/>
      <c r="E194" s="96"/>
      <c r="F194" s="96"/>
      <c r="G194" s="96"/>
      <c r="H194" s="96"/>
      <c r="I194" s="96"/>
      <c r="J194" s="113"/>
    </row>
    <row r="195" spans="1:10" ht="24" thickBot="1" x14ac:dyDescent="0.25">
      <c r="A195" s="429" t="s">
        <v>165</v>
      </c>
      <c r="B195" s="430"/>
      <c r="C195" s="98"/>
      <c r="D195" s="92" t="s">
        <v>166</v>
      </c>
      <c r="E195" s="431"/>
      <c r="F195" s="431"/>
      <c r="G195" s="431"/>
      <c r="H195" s="431"/>
      <c r="I195" s="431"/>
      <c r="J195" s="432"/>
    </row>
    <row r="196" spans="1:10" ht="13.5" thickBot="1" x14ac:dyDescent="0.25">
      <c r="A196" s="105"/>
    </row>
    <row r="197" spans="1:10" x14ac:dyDescent="0.2">
      <c r="A197" s="103"/>
      <c r="B197" s="100" t="s">
        <v>60</v>
      </c>
      <c r="C197" s="94" t="s">
        <v>96</v>
      </c>
      <c r="D197" s="94" t="s">
        <v>97</v>
      </c>
      <c r="E197" s="93" t="s">
        <v>162</v>
      </c>
      <c r="F197" s="93" t="s">
        <v>163</v>
      </c>
      <c r="G197" s="93" t="s">
        <v>164</v>
      </c>
      <c r="H197" s="93" t="s">
        <v>221</v>
      </c>
      <c r="I197" s="93" t="s">
        <v>220</v>
      </c>
      <c r="J197" s="226" t="s">
        <v>161</v>
      </c>
    </row>
    <row r="198" spans="1:10" ht="23.25" x14ac:dyDescent="0.2">
      <c r="A198" s="268" t="str">
        <f>'1-zapasy'!A69</f>
        <v>B5-3</v>
      </c>
      <c r="B198" s="101"/>
      <c r="C198" s="99"/>
      <c r="D198" s="99"/>
      <c r="E198" s="96"/>
      <c r="F198" s="96"/>
      <c r="G198" s="96"/>
      <c r="H198" s="96"/>
      <c r="I198" s="96"/>
      <c r="J198" s="113"/>
    </row>
    <row r="199" spans="1:10" ht="24" thickBot="1" x14ac:dyDescent="0.25">
      <c r="A199" s="429" t="s">
        <v>165</v>
      </c>
      <c r="B199" s="430"/>
      <c r="C199" s="98"/>
      <c r="D199" s="92" t="s">
        <v>166</v>
      </c>
      <c r="E199" s="431"/>
      <c r="F199" s="431"/>
      <c r="G199" s="431"/>
      <c r="H199" s="431"/>
      <c r="I199" s="431"/>
      <c r="J199" s="432"/>
    </row>
    <row r="200" spans="1:10" ht="13.5" thickBot="1" x14ac:dyDescent="0.25"/>
    <row r="201" spans="1:10" x14ac:dyDescent="0.2">
      <c r="A201" s="103"/>
      <c r="B201" s="100" t="s">
        <v>60</v>
      </c>
      <c r="C201" s="94" t="s">
        <v>96</v>
      </c>
      <c r="D201" s="94" t="s">
        <v>97</v>
      </c>
      <c r="E201" s="93" t="s">
        <v>162</v>
      </c>
      <c r="F201" s="93" t="s">
        <v>163</v>
      </c>
      <c r="G201" s="93" t="s">
        <v>164</v>
      </c>
      <c r="H201" s="93" t="s">
        <v>221</v>
      </c>
      <c r="I201" s="93" t="s">
        <v>220</v>
      </c>
      <c r="J201" s="226" t="s">
        <v>161</v>
      </c>
    </row>
    <row r="202" spans="1:10" ht="23.25" x14ac:dyDescent="0.2">
      <c r="A202" s="268" t="str">
        <f>'1-zapasy'!A70</f>
        <v>B5-4</v>
      </c>
      <c r="B202" s="101"/>
      <c r="C202" s="99"/>
      <c r="D202" s="99"/>
      <c r="E202" s="96"/>
      <c r="F202" s="96"/>
      <c r="G202" s="96"/>
      <c r="H202" s="96"/>
      <c r="I202" s="96"/>
      <c r="J202" s="113"/>
    </row>
    <row r="203" spans="1:10" ht="24" thickBot="1" x14ac:dyDescent="0.25">
      <c r="A203" s="429" t="s">
        <v>165</v>
      </c>
      <c r="B203" s="430"/>
      <c r="C203" s="98"/>
      <c r="D203" s="92" t="s">
        <v>166</v>
      </c>
      <c r="E203" s="431"/>
      <c r="F203" s="431"/>
      <c r="G203" s="431"/>
      <c r="H203" s="431"/>
      <c r="I203" s="431"/>
      <c r="J203" s="432"/>
    </row>
    <row r="204" spans="1:10" ht="13.5" thickBot="1" x14ac:dyDescent="0.25">
      <c r="A204" s="105"/>
    </row>
    <row r="205" spans="1:10" x14ac:dyDescent="0.2">
      <c r="A205" s="103"/>
      <c r="B205" s="100" t="s">
        <v>60</v>
      </c>
      <c r="C205" s="94" t="s">
        <v>96</v>
      </c>
      <c r="D205" s="94" t="s">
        <v>97</v>
      </c>
      <c r="E205" s="93" t="s">
        <v>162</v>
      </c>
      <c r="F205" s="93" t="s">
        <v>163</v>
      </c>
      <c r="G205" s="93" t="s">
        <v>164</v>
      </c>
      <c r="H205" s="93" t="s">
        <v>221</v>
      </c>
      <c r="I205" s="93" t="s">
        <v>220</v>
      </c>
      <c r="J205" s="226" t="s">
        <v>161</v>
      </c>
    </row>
    <row r="206" spans="1:10" ht="23.25" x14ac:dyDescent="0.2">
      <c r="A206" s="268" t="str">
        <f>'1-zapasy'!A71</f>
        <v>B5-5</v>
      </c>
      <c r="B206" s="101"/>
      <c r="C206" s="99"/>
      <c r="D206" s="99"/>
      <c r="E206" s="96"/>
      <c r="F206" s="96"/>
      <c r="G206" s="96"/>
      <c r="H206" s="96"/>
      <c r="I206" s="96"/>
      <c r="J206" s="113"/>
    </row>
    <row r="207" spans="1:10" ht="24" thickBot="1" x14ac:dyDescent="0.25">
      <c r="A207" s="429" t="s">
        <v>165</v>
      </c>
      <c r="B207" s="430"/>
      <c r="C207" s="98"/>
      <c r="D207" s="92" t="s">
        <v>166</v>
      </c>
      <c r="E207" s="431"/>
      <c r="F207" s="431"/>
      <c r="G207" s="431"/>
      <c r="H207" s="431"/>
      <c r="I207" s="431"/>
      <c r="J207" s="432"/>
    </row>
    <row r="208" spans="1:10" ht="13.5" thickBot="1" x14ac:dyDescent="0.25"/>
    <row r="209" spans="1:10" x14ac:dyDescent="0.2">
      <c r="A209" s="103"/>
      <c r="B209" s="100" t="s">
        <v>60</v>
      </c>
      <c r="C209" s="94" t="s">
        <v>96</v>
      </c>
      <c r="D209" s="94" t="s">
        <v>97</v>
      </c>
      <c r="E209" s="93" t="s">
        <v>162</v>
      </c>
      <c r="F209" s="93" t="s">
        <v>163</v>
      </c>
      <c r="G209" s="93" t="s">
        <v>164</v>
      </c>
      <c r="H209" s="93" t="s">
        <v>221</v>
      </c>
      <c r="I209" s="93" t="s">
        <v>220</v>
      </c>
      <c r="J209" s="226" t="s">
        <v>161</v>
      </c>
    </row>
    <row r="210" spans="1:10" ht="23.25" x14ac:dyDescent="0.2">
      <c r="A210" s="268" t="str">
        <f>'1-zapasy'!A72</f>
        <v>B5-6</v>
      </c>
      <c r="B210" s="101"/>
      <c r="C210" s="99"/>
      <c r="D210" s="99"/>
      <c r="E210" s="96"/>
      <c r="F210" s="96"/>
      <c r="G210" s="96"/>
      <c r="H210" s="96"/>
      <c r="I210" s="96"/>
      <c r="J210" s="113"/>
    </row>
    <row r="211" spans="1:10" ht="24" thickBot="1" x14ac:dyDescent="0.25">
      <c r="A211" s="429" t="s">
        <v>165</v>
      </c>
      <c r="B211" s="430"/>
      <c r="C211" s="98"/>
      <c r="D211" s="92" t="s">
        <v>166</v>
      </c>
      <c r="E211" s="431"/>
      <c r="F211" s="431"/>
      <c r="G211" s="431"/>
      <c r="H211" s="431"/>
      <c r="I211" s="431"/>
      <c r="J211" s="432"/>
    </row>
    <row r="212" spans="1:10" ht="13.5" thickBot="1" x14ac:dyDescent="0.25">
      <c r="A212" s="105"/>
    </row>
    <row r="213" spans="1:10" x14ac:dyDescent="0.2">
      <c r="A213" s="103"/>
      <c r="B213" s="100" t="s">
        <v>60</v>
      </c>
      <c r="C213" s="94" t="s">
        <v>96</v>
      </c>
      <c r="D213" s="94" t="s">
        <v>97</v>
      </c>
      <c r="E213" s="93" t="s">
        <v>162</v>
      </c>
      <c r="F213" s="93" t="s">
        <v>163</v>
      </c>
      <c r="G213" s="93" t="s">
        <v>164</v>
      </c>
      <c r="H213" s="93" t="s">
        <v>221</v>
      </c>
      <c r="I213" s="93" t="s">
        <v>220</v>
      </c>
      <c r="J213" s="226" t="s">
        <v>161</v>
      </c>
    </row>
    <row r="214" spans="1:10" ht="23.25" x14ac:dyDescent="0.2">
      <c r="A214" s="268" t="str">
        <f>'1-zapasy'!A75</f>
        <v>B6-1</v>
      </c>
      <c r="B214" s="101"/>
      <c r="C214" s="99"/>
      <c r="D214" s="99"/>
      <c r="E214" s="225"/>
      <c r="F214" s="96"/>
      <c r="G214" s="96"/>
      <c r="H214" s="96"/>
      <c r="I214" s="96"/>
      <c r="J214" s="113"/>
    </row>
    <row r="215" spans="1:10" ht="24" thickBot="1" x14ac:dyDescent="0.25">
      <c r="A215" s="429" t="s">
        <v>165</v>
      </c>
      <c r="B215" s="430"/>
      <c r="C215" s="98"/>
      <c r="D215" s="92" t="s">
        <v>166</v>
      </c>
      <c r="E215" s="431"/>
      <c r="F215" s="431"/>
      <c r="G215" s="431"/>
      <c r="H215" s="431"/>
      <c r="I215" s="431"/>
      <c r="J215" s="432"/>
    </row>
    <row r="216" spans="1:10" ht="13.5" thickBot="1" x14ac:dyDescent="0.25"/>
    <row r="217" spans="1:10" x14ac:dyDescent="0.2">
      <c r="A217" s="103"/>
      <c r="B217" s="100" t="s">
        <v>60</v>
      </c>
      <c r="C217" s="94" t="s">
        <v>96</v>
      </c>
      <c r="D217" s="94" t="s">
        <v>97</v>
      </c>
      <c r="E217" s="93" t="s">
        <v>162</v>
      </c>
      <c r="F217" s="93" t="s">
        <v>163</v>
      </c>
      <c r="G217" s="93" t="s">
        <v>164</v>
      </c>
      <c r="H217" s="93" t="s">
        <v>221</v>
      </c>
      <c r="I217" s="93" t="s">
        <v>220</v>
      </c>
      <c r="J217" s="226" t="s">
        <v>161</v>
      </c>
    </row>
    <row r="218" spans="1:10" ht="23.25" x14ac:dyDescent="0.2">
      <c r="A218" s="268" t="str">
        <f>'1-zapasy'!A76</f>
        <v>B6-2</v>
      </c>
      <c r="B218" s="101"/>
      <c r="C218" s="99"/>
      <c r="D218" s="99"/>
      <c r="E218" s="96"/>
      <c r="F218" s="96"/>
      <c r="G218" s="96"/>
      <c r="H218" s="96"/>
      <c r="I218" s="96"/>
      <c r="J218" s="113"/>
    </row>
    <row r="219" spans="1:10" ht="24" thickBot="1" x14ac:dyDescent="0.25">
      <c r="A219" s="429" t="s">
        <v>165</v>
      </c>
      <c r="B219" s="430"/>
      <c r="C219" s="98"/>
      <c r="D219" s="92" t="s">
        <v>166</v>
      </c>
      <c r="E219" s="431"/>
      <c r="F219" s="431"/>
      <c r="G219" s="431"/>
      <c r="H219" s="431"/>
      <c r="I219" s="431"/>
      <c r="J219" s="432"/>
    </row>
    <row r="220" spans="1:10" ht="13.5" thickBot="1" x14ac:dyDescent="0.25">
      <c r="A220" s="105"/>
    </row>
    <row r="221" spans="1:10" x14ac:dyDescent="0.2">
      <c r="A221" s="103"/>
      <c r="B221" s="100" t="s">
        <v>60</v>
      </c>
      <c r="C221" s="94" t="s">
        <v>96</v>
      </c>
      <c r="D221" s="94" t="s">
        <v>97</v>
      </c>
      <c r="E221" s="93" t="s">
        <v>162</v>
      </c>
      <c r="F221" s="93" t="s">
        <v>163</v>
      </c>
      <c r="G221" s="93" t="s">
        <v>164</v>
      </c>
      <c r="H221" s="93" t="s">
        <v>221</v>
      </c>
      <c r="I221" s="93" t="s">
        <v>220</v>
      </c>
      <c r="J221" s="226" t="s">
        <v>161</v>
      </c>
    </row>
    <row r="222" spans="1:10" ht="23.25" x14ac:dyDescent="0.2">
      <c r="A222" s="268" t="str">
        <f>'1-zapasy'!A77</f>
        <v>B6-3</v>
      </c>
      <c r="B222" s="101"/>
      <c r="C222" s="99"/>
      <c r="D222" s="99"/>
      <c r="E222" s="96"/>
      <c r="F222" s="96"/>
      <c r="G222" s="96"/>
      <c r="H222" s="96"/>
      <c r="I222" s="96"/>
      <c r="J222" s="113"/>
    </row>
    <row r="223" spans="1:10" ht="24" thickBot="1" x14ac:dyDescent="0.25">
      <c r="A223" s="429" t="s">
        <v>165</v>
      </c>
      <c r="B223" s="430"/>
      <c r="C223" s="98"/>
      <c r="D223" s="92" t="s">
        <v>166</v>
      </c>
      <c r="E223" s="431"/>
      <c r="F223" s="431"/>
      <c r="G223" s="431"/>
      <c r="H223" s="431"/>
      <c r="I223" s="431"/>
      <c r="J223" s="432"/>
    </row>
    <row r="224" spans="1:10" ht="13.5" thickBot="1" x14ac:dyDescent="0.25">
      <c r="A224" s="105"/>
    </row>
    <row r="225" spans="1:10" x14ac:dyDescent="0.2">
      <c r="A225" s="103"/>
      <c r="B225" s="100" t="s">
        <v>60</v>
      </c>
      <c r="C225" s="94" t="s">
        <v>96</v>
      </c>
      <c r="D225" s="94" t="s">
        <v>97</v>
      </c>
      <c r="E225" s="93" t="s">
        <v>162</v>
      </c>
      <c r="F225" s="93" t="s">
        <v>163</v>
      </c>
      <c r="G225" s="93" t="s">
        <v>164</v>
      </c>
      <c r="H225" s="93" t="s">
        <v>221</v>
      </c>
      <c r="I225" s="93" t="s">
        <v>220</v>
      </c>
      <c r="J225" s="226" t="s">
        <v>161</v>
      </c>
    </row>
    <row r="226" spans="1:10" ht="23.25" x14ac:dyDescent="0.2">
      <c r="A226" s="268" t="str">
        <f>'1-zapasy'!A78</f>
        <v>B6-4</v>
      </c>
      <c r="B226" s="101"/>
      <c r="C226" s="99"/>
      <c r="D226" s="99"/>
      <c r="E226" s="96"/>
      <c r="F226" s="96"/>
      <c r="G226" s="96"/>
      <c r="H226" s="96"/>
      <c r="I226" s="96"/>
      <c r="J226" s="113"/>
    </row>
    <row r="227" spans="1:10" ht="24" thickBot="1" x14ac:dyDescent="0.25">
      <c r="A227" s="429" t="s">
        <v>165</v>
      </c>
      <c r="B227" s="430"/>
      <c r="C227" s="98"/>
      <c r="D227" s="92" t="s">
        <v>166</v>
      </c>
      <c r="E227" s="431"/>
      <c r="F227" s="431"/>
      <c r="G227" s="431"/>
      <c r="H227" s="431"/>
      <c r="I227" s="431"/>
      <c r="J227" s="432"/>
    </row>
    <row r="228" spans="1:10" ht="13.5" thickBot="1" x14ac:dyDescent="0.25">
      <c r="A228" s="105"/>
    </row>
    <row r="229" spans="1:10" x14ac:dyDescent="0.2">
      <c r="A229" s="103"/>
      <c r="B229" s="100" t="s">
        <v>60</v>
      </c>
      <c r="C229" s="94" t="s">
        <v>96</v>
      </c>
      <c r="D229" s="94" t="s">
        <v>97</v>
      </c>
      <c r="E229" s="93" t="s">
        <v>162</v>
      </c>
      <c r="F229" s="93" t="s">
        <v>163</v>
      </c>
      <c r="G229" s="93" t="s">
        <v>164</v>
      </c>
      <c r="H229" s="93" t="s">
        <v>221</v>
      </c>
      <c r="I229" s="93" t="s">
        <v>220</v>
      </c>
      <c r="J229" s="226" t="s">
        <v>161</v>
      </c>
    </row>
    <row r="230" spans="1:10" ht="23.25" x14ac:dyDescent="0.2">
      <c r="A230" s="268" t="str">
        <f>'1-zapasy'!A79</f>
        <v>B6-5</v>
      </c>
      <c r="B230" s="101"/>
      <c r="C230" s="99"/>
      <c r="D230" s="99"/>
      <c r="E230" s="96"/>
      <c r="F230" s="96"/>
      <c r="G230" s="96"/>
      <c r="H230" s="96"/>
      <c r="I230" s="96"/>
      <c r="J230" s="113"/>
    </row>
    <row r="231" spans="1:10" ht="24" thickBot="1" x14ac:dyDescent="0.25">
      <c r="A231" s="429" t="s">
        <v>165</v>
      </c>
      <c r="B231" s="430"/>
      <c r="C231" s="98"/>
      <c r="D231" s="92" t="s">
        <v>166</v>
      </c>
      <c r="E231" s="431"/>
      <c r="F231" s="431"/>
      <c r="G231" s="431"/>
      <c r="H231" s="431"/>
      <c r="I231" s="431"/>
      <c r="J231" s="432"/>
    </row>
    <row r="232" spans="1:10" ht="13.5" thickBot="1" x14ac:dyDescent="0.25"/>
    <row r="233" spans="1:10" x14ac:dyDescent="0.2">
      <c r="A233" s="103"/>
      <c r="B233" s="100" t="s">
        <v>60</v>
      </c>
      <c r="C233" s="94" t="s">
        <v>96</v>
      </c>
      <c r="D233" s="94" t="s">
        <v>97</v>
      </c>
      <c r="E233" s="93" t="s">
        <v>162</v>
      </c>
      <c r="F233" s="93" t="s">
        <v>163</v>
      </c>
      <c r="G233" s="93" t="s">
        <v>164</v>
      </c>
      <c r="H233" s="93" t="s">
        <v>221</v>
      </c>
      <c r="I233" s="93" t="s">
        <v>220</v>
      </c>
      <c r="J233" s="226" t="s">
        <v>161</v>
      </c>
    </row>
    <row r="234" spans="1:10" ht="23.25" x14ac:dyDescent="0.2">
      <c r="A234" s="268" t="str">
        <f>'1-zapasy'!A80</f>
        <v>B6-6</v>
      </c>
      <c r="B234" s="101"/>
      <c r="C234" s="99"/>
      <c r="D234" s="99"/>
      <c r="E234" s="96"/>
      <c r="F234" s="96"/>
      <c r="G234" s="96"/>
      <c r="H234" s="96"/>
      <c r="I234" s="96"/>
      <c r="J234" s="113"/>
    </row>
    <row r="235" spans="1:10" ht="24" thickBot="1" x14ac:dyDescent="0.25">
      <c r="A235" s="429" t="s">
        <v>165</v>
      </c>
      <c r="B235" s="430"/>
      <c r="C235" s="98"/>
      <c r="D235" s="92" t="s">
        <v>166</v>
      </c>
      <c r="E235" s="431"/>
      <c r="F235" s="431"/>
      <c r="G235" s="431"/>
      <c r="H235" s="431"/>
      <c r="I235" s="431"/>
      <c r="J235" s="432"/>
    </row>
    <row r="236" spans="1:10" x14ac:dyDescent="0.2">
      <c r="A236" s="103"/>
      <c r="B236" s="100" t="s">
        <v>60</v>
      </c>
      <c r="C236" s="94" t="s">
        <v>96</v>
      </c>
      <c r="D236" s="94" t="s">
        <v>97</v>
      </c>
      <c r="E236" s="93" t="s">
        <v>162</v>
      </c>
      <c r="F236" s="93" t="s">
        <v>163</v>
      </c>
      <c r="G236" s="93" t="s">
        <v>164</v>
      </c>
      <c r="H236" s="93" t="s">
        <v>221</v>
      </c>
      <c r="I236" s="93" t="s">
        <v>220</v>
      </c>
      <c r="J236" s="226" t="s">
        <v>161</v>
      </c>
    </row>
    <row r="237" spans="1:10" ht="23.25" x14ac:dyDescent="0.2">
      <c r="A237" s="268" t="str">
        <f>'1-zapasy'!A83</f>
        <v>B7-1</v>
      </c>
      <c r="B237" s="101"/>
      <c r="C237" s="99"/>
      <c r="D237" s="99"/>
      <c r="E237" s="225"/>
      <c r="F237" s="96"/>
      <c r="G237" s="96"/>
      <c r="H237" s="96"/>
      <c r="I237" s="96"/>
      <c r="J237" s="113"/>
    </row>
    <row r="238" spans="1:10" ht="24" thickBot="1" x14ac:dyDescent="0.25">
      <c r="A238" s="429" t="s">
        <v>165</v>
      </c>
      <c r="B238" s="430"/>
      <c r="C238" s="98"/>
      <c r="D238" s="92" t="s">
        <v>166</v>
      </c>
      <c r="E238" s="431"/>
      <c r="F238" s="431"/>
      <c r="G238" s="431"/>
      <c r="H238" s="431"/>
      <c r="I238" s="431"/>
      <c r="J238" s="432"/>
    </row>
    <row r="239" spans="1:10" ht="13.5" thickBot="1" x14ac:dyDescent="0.25"/>
    <row r="240" spans="1:10" x14ac:dyDescent="0.2">
      <c r="A240" s="103"/>
      <c r="B240" s="100" t="s">
        <v>60</v>
      </c>
      <c r="C240" s="94" t="s">
        <v>96</v>
      </c>
      <c r="D240" s="94" t="s">
        <v>97</v>
      </c>
      <c r="E240" s="93" t="s">
        <v>162</v>
      </c>
      <c r="F240" s="93" t="s">
        <v>163</v>
      </c>
      <c r="G240" s="93" t="s">
        <v>164</v>
      </c>
      <c r="H240" s="93" t="s">
        <v>221</v>
      </c>
      <c r="I240" s="93" t="s">
        <v>220</v>
      </c>
      <c r="J240" s="226" t="s">
        <v>161</v>
      </c>
    </row>
    <row r="241" spans="1:10" ht="23.25" x14ac:dyDescent="0.2">
      <c r="A241" s="268" t="str">
        <f>'1-zapasy'!A84</f>
        <v>B7-2</v>
      </c>
      <c r="B241" s="101"/>
      <c r="C241" s="99"/>
      <c r="D241" s="99"/>
      <c r="E241" s="96"/>
      <c r="F241" s="96"/>
      <c r="G241" s="96"/>
      <c r="H241" s="96"/>
      <c r="I241" s="96"/>
      <c r="J241" s="113"/>
    </row>
    <row r="242" spans="1:10" ht="24" thickBot="1" x14ac:dyDescent="0.25">
      <c r="A242" s="429" t="s">
        <v>165</v>
      </c>
      <c r="B242" s="430"/>
      <c r="C242" s="98"/>
      <c r="D242" s="92" t="s">
        <v>166</v>
      </c>
      <c r="E242" s="431"/>
      <c r="F242" s="431"/>
      <c r="G242" s="431"/>
      <c r="H242" s="431"/>
      <c r="I242" s="431"/>
      <c r="J242" s="432"/>
    </row>
    <row r="243" spans="1:10" ht="13.5" thickBot="1" x14ac:dyDescent="0.25">
      <c r="A243" s="105"/>
    </row>
    <row r="244" spans="1:10" x14ac:dyDescent="0.2">
      <c r="A244" s="103"/>
      <c r="B244" s="100" t="s">
        <v>60</v>
      </c>
      <c r="C244" s="94" t="s">
        <v>96</v>
      </c>
      <c r="D244" s="94" t="s">
        <v>97</v>
      </c>
      <c r="E244" s="93" t="s">
        <v>162</v>
      </c>
      <c r="F244" s="93" t="s">
        <v>163</v>
      </c>
      <c r="G244" s="93" t="s">
        <v>164</v>
      </c>
      <c r="H244" s="93" t="s">
        <v>221</v>
      </c>
      <c r="I244" s="93" t="s">
        <v>220</v>
      </c>
      <c r="J244" s="226" t="s">
        <v>161</v>
      </c>
    </row>
    <row r="245" spans="1:10" ht="23.25" x14ac:dyDescent="0.2">
      <c r="A245" s="268" t="str">
        <f>'1-zapasy'!A85</f>
        <v>B7-3</v>
      </c>
      <c r="B245" s="101"/>
      <c r="C245" s="99"/>
      <c r="D245" s="99"/>
      <c r="E245" s="96"/>
      <c r="F245" s="96"/>
      <c r="G245" s="96"/>
      <c r="H245" s="96"/>
      <c r="I245" s="96"/>
      <c r="J245" s="113"/>
    </row>
    <row r="246" spans="1:10" ht="24" thickBot="1" x14ac:dyDescent="0.25">
      <c r="A246" s="429" t="s">
        <v>165</v>
      </c>
      <c r="B246" s="430"/>
      <c r="C246" s="98"/>
      <c r="D246" s="92" t="s">
        <v>166</v>
      </c>
      <c r="E246" s="431"/>
      <c r="F246" s="431"/>
      <c r="G246" s="431"/>
      <c r="H246" s="431"/>
      <c r="I246" s="431"/>
      <c r="J246" s="432"/>
    </row>
    <row r="247" spans="1:10" ht="13.5" thickBot="1" x14ac:dyDescent="0.25"/>
    <row r="248" spans="1:10" x14ac:dyDescent="0.2">
      <c r="A248" s="103"/>
      <c r="B248" s="100" t="s">
        <v>60</v>
      </c>
      <c r="C248" s="94" t="s">
        <v>96</v>
      </c>
      <c r="D248" s="94" t="s">
        <v>97</v>
      </c>
      <c r="E248" s="93" t="s">
        <v>162</v>
      </c>
      <c r="F248" s="93" t="s">
        <v>163</v>
      </c>
      <c r="G248" s="93" t="s">
        <v>164</v>
      </c>
      <c r="H248" s="93" t="s">
        <v>221</v>
      </c>
      <c r="I248" s="93" t="s">
        <v>220</v>
      </c>
      <c r="J248" s="226" t="s">
        <v>161</v>
      </c>
    </row>
    <row r="249" spans="1:10" ht="23.25" x14ac:dyDescent="0.2">
      <c r="A249" s="268" t="str">
        <f>'1-zapasy'!A86</f>
        <v>B7-4</v>
      </c>
      <c r="B249" s="101"/>
      <c r="C249" s="99"/>
      <c r="D249" s="99"/>
      <c r="E249" s="96"/>
      <c r="F249" s="96"/>
      <c r="G249" s="96"/>
      <c r="H249" s="96"/>
      <c r="I249" s="96"/>
      <c r="J249" s="113"/>
    </row>
    <row r="250" spans="1:10" ht="24" thickBot="1" x14ac:dyDescent="0.25">
      <c r="A250" s="429" t="s">
        <v>165</v>
      </c>
      <c r="B250" s="430"/>
      <c r="C250" s="98"/>
      <c r="D250" s="92" t="s">
        <v>166</v>
      </c>
      <c r="E250" s="431"/>
      <c r="F250" s="431"/>
      <c r="G250" s="431"/>
      <c r="H250" s="431"/>
      <c r="I250" s="431"/>
      <c r="J250" s="432"/>
    </row>
    <row r="251" spans="1:10" ht="13.5" thickBot="1" x14ac:dyDescent="0.25">
      <c r="A251" s="105"/>
    </row>
    <row r="252" spans="1:10" x14ac:dyDescent="0.2">
      <c r="A252" s="103"/>
      <c r="B252" s="100" t="s">
        <v>60</v>
      </c>
      <c r="C252" s="94" t="s">
        <v>96</v>
      </c>
      <c r="D252" s="94" t="s">
        <v>97</v>
      </c>
      <c r="E252" s="93" t="s">
        <v>162</v>
      </c>
      <c r="F252" s="93" t="s">
        <v>163</v>
      </c>
      <c r="G252" s="93" t="s">
        <v>164</v>
      </c>
      <c r="H252" s="93" t="s">
        <v>221</v>
      </c>
      <c r="I252" s="93" t="s">
        <v>220</v>
      </c>
      <c r="J252" s="226" t="s">
        <v>161</v>
      </c>
    </row>
    <row r="253" spans="1:10" ht="23.25" x14ac:dyDescent="0.2">
      <c r="A253" s="268" t="str">
        <f>'1-zapasy'!A87</f>
        <v>B7-5</v>
      </c>
      <c r="B253" s="101"/>
      <c r="C253" s="99"/>
      <c r="D253" s="99"/>
      <c r="E253" s="96"/>
      <c r="F253" s="96"/>
      <c r="G253" s="96"/>
      <c r="H253" s="96"/>
      <c r="I253" s="96"/>
      <c r="J253" s="113"/>
    </row>
    <row r="254" spans="1:10" ht="24" thickBot="1" x14ac:dyDescent="0.25">
      <c r="A254" s="429" t="s">
        <v>165</v>
      </c>
      <c r="B254" s="430"/>
      <c r="C254" s="98"/>
      <c r="D254" s="92" t="s">
        <v>166</v>
      </c>
      <c r="E254" s="431"/>
      <c r="F254" s="431"/>
      <c r="G254" s="431"/>
      <c r="H254" s="431"/>
      <c r="I254" s="431"/>
      <c r="J254" s="432"/>
    </row>
    <row r="255" spans="1:10" ht="13.5" thickBot="1" x14ac:dyDescent="0.25"/>
    <row r="256" spans="1:10" x14ac:dyDescent="0.2">
      <c r="A256" s="103"/>
      <c r="B256" s="100" t="s">
        <v>60</v>
      </c>
      <c r="C256" s="94" t="s">
        <v>96</v>
      </c>
      <c r="D256" s="94" t="s">
        <v>97</v>
      </c>
      <c r="E256" s="93" t="s">
        <v>162</v>
      </c>
      <c r="F256" s="93" t="s">
        <v>163</v>
      </c>
      <c r="G256" s="93" t="s">
        <v>164</v>
      </c>
      <c r="H256" s="93" t="s">
        <v>221</v>
      </c>
      <c r="I256" s="93" t="s">
        <v>220</v>
      </c>
      <c r="J256" s="226" t="s">
        <v>161</v>
      </c>
    </row>
    <row r="257" spans="1:10" ht="23.25" x14ac:dyDescent="0.2">
      <c r="A257" s="268" t="str">
        <f>'1-zapasy'!A88</f>
        <v>B7-6</v>
      </c>
      <c r="B257" s="101"/>
      <c r="C257" s="99"/>
      <c r="D257" s="99"/>
      <c r="E257" s="96"/>
      <c r="F257" s="96"/>
      <c r="G257" s="96"/>
      <c r="H257" s="96"/>
      <c r="I257" s="96"/>
      <c r="J257" s="113"/>
    </row>
    <row r="258" spans="1:10" ht="24" thickBot="1" x14ac:dyDescent="0.25">
      <c r="A258" s="429" t="s">
        <v>165</v>
      </c>
      <c r="B258" s="430"/>
      <c r="C258" s="98"/>
      <c r="D258" s="92" t="s">
        <v>166</v>
      </c>
      <c r="E258" s="431"/>
      <c r="F258" s="431"/>
      <c r="G258" s="431"/>
      <c r="H258" s="431"/>
      <c r="I258" s="431"/>
      <c r="J258" s="432"/>
    </row>
    <row r="259" spans="1:10" ht="13.5" thickBot="1" x14ac:dyDescent="0.25">
      <c r="A259" s="105"/>
    </row>
    <row r="260" spans="1:10" x14ac:dyDescent="0.2">
      <c r="A260" s="103"/>
      <c r="B260" s="100" t="s">
        <v>60</v>
      </c>
      <c r="C260" s="94" t="s">
        <v>96</v>
      </c>
      <c r="D260" s="94" t="s">
        <v>97</v>
      </c>
      <c r="E260" s="93" t="s">
        <v>162</v>
      </c>
      <c r="F260" s="93" t="s">
        <v>163</v>
      </c>
      <c r="G260" s="93" t="s">
        <v>164</v>
      </c>
      <c r="H260" s="93" t="s">
        <v>221</v>
      </c>
      <c r="I260" s="93" t="s">
        <v>220</v>
      </c>
      <c r="J260" s="226" t="s">
        <v>161</v>
      </c>
    </row>
    <row r="261" spans="1:10" ht="23.25" x14ac:dyDescent="0.2">
      <c r="A261" s="268" t="str">
        <f>'1-zapasy'!A91</f>
        <v>B8-1</v>
      </c>
      <c r="B261" s="101"/>
      <c r="C261" s="99"/>
      <c r="D261" s="99"/>
      <c r="E261" s="225"/>
      <c r="F261" s="96"/>
      <c r="G261" s="96"/>
      <c r="H261" s="96"/>
      <c r="I261" s="96"/>
      <c r="J261" s="113"/>
    </row>
    <row r="262" spans="1:10" ht="24" thickBot="1" x14ac:dyDescent="0.25">
      <c r="A262" s="429" t="s">
        <v>165</v>
      </c>
      <c r="B262" s="430"/>
      <c r="C262" s="98"/>
      <c r="D262" s="92" t="s">
        <v>166</v>
      </c>
      <c r="E262" s="431"/>
      <c r="F262" s="431"/>
      <c r="G262" s="431"/>
      <c r="H262" s="431"/>
      <c r="I262" s="431"/>
      <c r="J262" s="432"/>
    </row>
    <row r="263" spans="1:10" ht="13.5" thickBot="1" x14ac:dyDescent="0.25"/>
    <row r="264" spans="1:10" x14ac:dyDescent="0.2">
      <c r="A264" s="103"/>
      <c r="B264" s="100" t="s">
        <v>60</v>
      </c>
      <c r="C264" s="94" t="s">
        <v>96</v>
      </c>
      <c r="D264" s="94" t="s">
        <v>97</v>
      </c>
      <c r="E264" s="93" t="s">
        <v>162</v>
      </c>
      <c r="F264" s="93" t="s">
        <v>163</v>
      </c>
      <c r="G264" s="93" t="s">
        <v>164</v>
      </c>
      <c r="H264" s="93" t="s">
        <v>221</v>
      </c>
      <c r="I264" s="93" t="s">
        <v>220</v>
      </c>
      <c r="J264" s="226" t="s">
        <v>161</v>
      </c>
    </row>
    <row r="265" spans="1:10" ht="23.25" x14ac:dyDescent="0.2">
      <c r="A265" s="268" t="str">
        <f>'1-zapasy'!A92</f>
        <v>B8-2</v>
      </c>
      <c r="B265" s="101"/>
      <c r="C265" s="99"/>
      <c r="D265" s="99"/>
      <c r="E265" s="96"/>
      <c r="F265" s="96"/>
      <c r="G265" s="96"/>
      <c r="H265" s="96"/>
      <c r="I265" s="96"/>
      <c r="J265" s="113"/>
    </row>
    <row r="266" spans="1:10" ht="24" thickBot="1" x14ac:dyDescent="0.25">
      <c r="A266" s="429" t="s">
        <v>165</v>
      </c>
      <c r="B266" s="430"/>
      <c r="C266" s="98"/>
      <c r="D266" s="92" t="s">
        <v>166</v>
      </c>
      <c r="E266" s="431"/>
      <c r="F266" s="431"/>
      <c r="G266" s="431"/>
      <c r="H266" s="431"/>
      <c r="I266" s="431"/>
      <c r="J266" s="432"/>
    </row>
    <row r="267" spans="1:10" ht="13.5" thickBot="1" x14ac:dyDescent="0.25">
      <c r="A267" s="105"/>
    </row>
    <row r="268" spans="1:10" x14ac:dyDescent="0.2">
      <c r="A268" s="103"/>
      <c r="B268" s="100" t="s">
        <v>60</v>
      </c>
      <c r="C268" s="94" t="s">
        <v>96</v>
      </c>
      <c r="D268" s="94" t="s">
        <v>97</v>
      </c>
      <c r="E268" s="93" t="s">
        <v>162</v>
      </c>
      <c r="F268" s="93" t="s">
        <v>163</v>
      </c>
      <c r="G268" s="93" t="s">
        <v>164</v>
      </c>
      <c r="H268" s="93" t="s">
        <v>221</v>
      </c>
      <c r="I268" s="93" t="s">
        <v>220</v>
      </c>
      <c r="J268" s="226" t="s">
        <v>161</v>
      </c>
    </row>
    <row r="269" spans="1:10" ht="23.25" x14ac:dyDescent="0.2">
      <c r="A269" s="268" t="str">
        <f>'1-zapasy'!A93</f>
        <v>B8-3</v>
      </c>
      <c r="B269" s="101"/>
      <c r="C269" s="99"/>
      <c r="D269" s="99"/>
      <c r="E269" s="96"/>
      <c r="F269" s="96"/>
      <c r="G269" s="96"/>
      <c r="H269" s="96"/>
      <c r="I269" s="96"/>
      <c r="J269" s="113"/>
    </row>
    <row r="270" spans="1:10" ht="24" thickBot="1" x14ac:dyDescent="0.25">
      <c r="A270" s="429" t="s">
        <v>165</v>
      </c>
      <c r="B270" s="430"/>
      <c r="C270" s="98"/>
      <c r="D270" s="92" t="s">
        <v>166</v>
      </c>
      <c r="E270" s="431"/>
      <c r="F270" s="431"/>
      <c r="G270" s="431"/>
      <c r="H270" s="431"/>
      <c r="I270" s="431"/>
      <c r="J270" s="432"/>
    </row>
    <row r="271" spans="1:10" ht="13.5" thickBot="1" x14ac:dyDescent="0.25">
      <c r="A271" s="105"/>
    </row>
    <row r="272" spans="1:10" x14ac:dyDescent="0.2">
      <c r="A272" s="103"/>
      <c r="B272" s="100" t="s">
        <v>60</v>
      </c>
      <c r="C272" s="94" t="s">
        <v>96</v>
      </c>
      <c r="D272" s="94" t="s">
        <v>97</v>
      </c>
      <c r="E272" s="93" t="s">
        <v>162</v>
      </c>
      <c r="F272" s="93" t="s">
        <v>163</v>
      </c>
      <c r="G272" s="93" t="s">
        <v>164</v>
      </c>
      <c r="H272" s="93" t="s">
        <v>221</v>
      </c>
      <c r="I272" s="93" t="s">
        <v>220</v>
      </c>
      <c r="J272" s="226" t="s">
        <v>161</v>
      </c>
    </row>
    <row r="273" spans="1:10" ht="23.25" x14ac:dyDescent="0.2">
      <c r="A273" s="268" t="str">
        <f>'1-zapasy'!A94</f>
        <v>B8-4</v>
      </c>
      <c r="B273" s="101"/>
      <c r="C273" s="99"/>
      <c r="D273" s="99"/>
      <c r="E273" s="96"/>
      <c r="F273" s="96"/>
      <c r="G273" s="96"/>
      <c r="H273" s="96"/>
      <c r="I273" s="96"/>
      <c r="J273" s="113"/>
    </row>
    <row r="274" spans="1:10" ht="24" thickBot="1" x14ac:dyDescent="0.25">
      <c r="A274" s="429" t="s">
        <v>165</v>
      </c>
      <c r="B274" s="430"/>
      <c r="C274" s="98"/>
      <c r="D274" s="92" t="s">
        <v>166</v>
      </c>
      <c r="E274" s="431"/>
      <c r="F274" s="431"/>
      <c r="G274" s="431"/>
      <c r="H274" s="431"/>
      <c r="I274" s="431"/>
      <c r="J274" s="432"/>
    </row>
    <row r="275" spans="1:10" ht="13.5" thickBot="1" x14ac:dyDescent="0.25">
      <c r="A275" s="105"/>
    </row>
    <row r="276" spans="1:10" x14ac:dyDescent="0.2">
      <c r="A276" s="103"/>
      <c r="B276" s="100" t="s">
        <v>60</v>
      </c>
      <c r="C276" s="94" t="s">
        <v>96</v>
      </c>
      <c r="D276" s="94" t="s">
        <v>97</v>
      </c>
      <c r="E276" s="93" t="s">
        <v>162</v>
      </c>
      <c r="F276" s="93" t="s">
        <v>163</v>
      </c>
      <c r="G276" s="93" t="s">
        <v>164</v>
      </c>
      <c r="H276" s="93" t="s">
        <v>221</v>
      </c>
      <c r="I276" s="93" t="s">
        <v>220</v>
      </c>
      <c r="J276" s="226" t="s">
        <v>161</v>
      </c>
    </row>
    <row r="277" spans="1:10" ht="23.25" x14ac:dyDescent="0.2">
      <c r="A277" s="268" t="str">
        <f>'1-zapasy'!A95</f>
        <v>B8-5</v>
      </c>
      <c r="B277" s="101"/>
      <c r="C277" s="99"/>
      <c r="D277" s="99"/>
      <c r="E277" s="96"/>
      <c r="F277" s="96"/>
      <c r="G277" s="96"/>
      <c r="H277" s="96"/>
      <c r="I277" s="96"/>
      <c r="J277" s="113"/>
    </row>
    <row r="278" spans="1:10" ht="24" thickBot="1" x14ac:dyDescent="0.25">
      <c r="A278" s="429" t="s">
        <v>165</v>
      </c>
      <c r="B278" s="430"/>
      <c r="C278" s="98"/>
      <c r="D278" s="92" t="s">
        <v>166</v>
      </c>
      <c r="E278" s="431"/>
      <c r="F278" s="431"/>
      <c r="G278" s="431"/>
      <c r="H278" s="431"/>
      <c r="I278" s="431"/>
      <c r="J278" s="432"/>
    </row>
    <row r="279" spans="1:10" ht="13.5" thickBot="1" x14ac:dyDescent="0.25"/>
    <row r="280" spans="1:10" x14ac:dyDescent="0.2">
      <c r="A280" s="103"/>
      <c r="B280" s="100" t="s">
        <v>60</v>
      </c>
      <c r="C280" s="94" t="s">
        <v>96</v>
      </c>
      <c r="D280" s="94" t="s">
        <v>97</v>
      </c>
      <c r="E280" s="93" t="s">
        <v>162</v>
      </c>
      <c r="F280" s="93" t="s">
        <v>163</v>
      </c>
      <c r="G280" s="93" t="s">
        <v>164</v>
      </c>
      <c r="H280" s="93" t="s">
        <v>221</v>
      </c>
      <c r="I280" s="93" t="s">
        <v>220</v>
      </c>
      <c r="J280" s="226" t="s">
        <v>161</v>
      </c>
    </row>
    <row r="281" spans="1:10" ht="23.25" x14ac:dyDescent="0.2">
      <c r="A281" s="268" t="str">
        <f>'1-zapasy'!A96</f>
        <v>B8-6</v>
      </c>
      <c r="B281" s="101"/>
      <c r="C281" s="99"/>
      <c r="D281" s="99"/>
      <c r="E281" s="96"/>
      <c r="F281" s="96"/>
      <c r="G281" s="96"/>
      <c r="H281" s="96"/>
      <c r="I281" s="96"/>
      <c r="J281" s="113"/>
    </row>
    <row r="282" spans="1:10" ht="24" thickBot="1" x14ac:dyDescent="0.25">
      <c r="A282" s="429" t="s">
        <v>165</v>
      </c>
      <c r="B282" s="430"/>
      <c r="C282" s="98"/>
      <c r="D282" s="92" t="s">
        <v>166</v>
      </c>
      <c r="E282" s="431"/>
      <c r="F282" s="431"/>
      <c r="G282" s="431"/>
      <c r="H282" s="431"/>
      <c r="I282" s="431"/>
      <c r="J282" s="432"/>
    </row>
    <row r="283" spans="1:10" x14ac:dyDescent="0.2">
      <c r="A283" s="103"/>
      <c r="B283" s="100" t="s">
        <v>60</v>
      </c>
      <c r="C283" s="94" t="s">
        <v>96</v>
      </c>
      <c r="D283" s="94" t="s">
        <v>97</v>
      </c>
      <c r="E283" s="93" t="s">
        <v>162</v>
      </c>
      <c r="F283" s="93" t="s">
        <v>163</v>
      </c>
      <c r="G283" s="93" t="s">
        <v>164</v>
      </c>
      <c r="H283" s="93" t="s">
        <v>221</v>
      </c>
      <c r="I283" s="93" t="s">
        <v>220</v>
      </c>
      <c r="J283" s="226" t="s">
        <v>161</v>
      </c>
    </row>
    <row r="284" spans="1:10" ht="23.25" x14ac:dyDescent="0.2">
      <c r="A284" s="268" t="str">
        <f>'1-zapasy'!A99</f>
        <v>M-1</v>
      </c>
      <c r="B284" s="101"/>
      <c r="C284" s="99" t="e">
        <f>LEFT('1-zapasy'!B99,SEARCH("(",'1-zapasy'!B99)-1)</f>
        <v>#VALUE!</v>
      </c>
      <c r="D284" s="99" t="e">
        <f>LEFT('1-zapasy'!C99,SEARCH("(",'1-zapasy'!C99)-1)</f>
        <v>#VALUE!</v>
      </c>
      <c r="E284" s="225"/>
      <c r="F284" s="96"/>
      <c r="G284" s="96"/>
      <c r="H284" s="96"/>
      <c r="I284" s="96"/>
      <c r="J284" s="113"/>
    </row>
    <row r="285" spans="1:10" ht="24" thickBot="1" x14ac:dyDescent="0.25">
      <c r="A285" s="429" t="s">
        <v>165</v>
      </c>
      <c r="B285" s="430"/>
      <c r="C285" s="98" t="e">
        <f>C288</f>
        <v>#VALUE!</v>
      </c>
      <c r="D285" s="92" t="s">
        <v>166</v>
      </c>
      <c r="E285" s="431"/>
      <c r="F285" s="431"/>
      <c r="G285" s="431"/>
      <c r="H285" s="431"/>
      <c r="I285" s="431"/>
      <c r="J285" s="432"/>
    </row>
    <row r="286" spans="1:10" ht="13.5" thickBot="1" x14ac:dyDescent="0.25"/>
    <row r="287" spans="1:10" x14ac:dyDescent="0.2">
      <c r="A287" s="103"/>
      <c r="B287" s="100" t="s">
        <v>60</v>
      </c>
      <c r="C287" s="94" t="s">
        <v>96</v>
      </c>
      <c r="D287" s="94" t="s">
        <v>97</v>
      </c>
      <c r="E287" s="93" t="s">
        <v>162</v>
      </c>
      <c r="F287" s="93" t="s">
        <v>163</v>
      </c>
      <c r="G287" s="93" t="s">
        <v>164</v>
      </c>
      <c r="H287" s="93" t="s">
        <v>221</v>
      </c>
      <c r="I287" s="93" t="s">
        <v>220</v>
      </c>
      <c r="J287" s="226" t="s">
        <v>161</v>
      </c>
    </row>
    <row r="288" spans="1:10" ht="23.25" x14ac:dyDescent="0.2">
      <c r="A288" s="268" t="str">
        <f>'1-zapasy'!A100</f>
        <v>M-2</v>
      </c>
      <c r="B288" s="101"/>
      <c r="C288" s="99" t="e">
        <f>LEFT('1-zapasy'!B100,SEARCH("(",'1-zapasy'!B100)-1)</f>
        <v>#VALUE!</v>
      </c>
      <c r="D288" s="99" t="e">
        <f>LEFT('1-zapasy'!C100,SEARCH("(",'1-zapasy'!C100)-1)</f>
        <v>#VALUE!</v>
      </c>
      <c r="E288" s="96"/>
      <c r="F288" s="96"/>
      <c r="G288" s="96"/>
      <c r="H288" s="96"/>
      <c r="I288" s="96"/>
      <c r="J288" s="113"/>
    </row>
    <row r="289" spans="1:10" ht="24" thickBot="1" x14ac:dyDescent="0.25">
      <c r="A289" s="429" t="s">
        <v>165</v>
      </c>
      <c r="B289" s="430"/>
      <c r="C289" s="98" t="e">
        <f>C284</f>
        <v>#VALUE!</v>
      </c>
      <c r="D289" s="92" t="s">
        <v>166</v>
      </c>
      <c r="E289" s="431"/>
      <c r="F289" s="431"/>
      <c r="G289" s="431"/>
      <c r="H289" s="431"/>
      <c r="I289" s="431"/>
      <c r="J289" s="432"/>
    </row>
    <row r="290" spans="1:10" ht="13.5" thickBot="1" x14ac:dyDescent="0.25">
      <c r="A290" s="105"/>
    </row>
    <row r="291" spans="1:10" x14ac:dyDescent="0.2">
      <c r="A291" s="103"/>
      <c r="B291" s="100" t="s">
        <v>60</v>
      </c>
      <c r="C291" s="94" t="s">
        <v>96</v>
      </c>
      <c r="D291" s="94" t="s">
        <v>97</v>
      </c>
      <c r="E291" s="93" t="s">
        <v>162</v>
      </c>
      <c r="F291" s="93" t="s">
        <v>163</v>
      </c>
      <c r="G291" s="93" t="s">
        <v>164</v>
      </c>
      <c r="H291" s="93" t="s">
        <v>221</v>
      </c>
      <c r="I291" s="93" t="s">
        <v>220</v>
      </c>
      <c r="J291" s="226" t="s">
        <v>161</v>
      </c>
    </row>
    <row r="292" spans="1:10" ht="23.25" x14ac:dyDescent="0.2">
      <c r="A292" s="268" t="str">
        <f>'1-zapasy'!A101</f>
        <v>M-3</v>
      </c>
      <c r="B292" s="101"/>
      <c r="C292" s="99" t="e">
        <f>LEFT('1-zapasy'!B101,SEARCH("(",'1-zapasy'!B101)-1)</f>
        <v>#VALUE!</v>
      </c>
      <c r="D292" s="99" t="e">
        <f>LEFT('1-zapasy'!C101,SEARCH("(",'1-zapasy'!C101)-1)</f>
        <v>#VALUE!</v>
      </c>
      <c r="E292" s="96"/>
      <c r="F292" s="96"/>
      <c r="G292" s="96"/>
      <c r="H292" s="96"/>
      <c r="I292" s="96"/>
      <c r="J292" s="113"/>
    </row>
    <row r="293" spans="1:10" ht="24" thickBot="1" x14ac:dyDescent="0.25">
      <c r="A293" s="429" t="s">
        <v>165</v>
      </c>
      <c r="B293" s="430"/>
      <c r="C293" s="98" t="e">
        <f>C296</f>
        <v>#VALUE!</v>
      </c>
      <c r="D293" s="92" t="s">
        <v>166</v>
      </c>
      <c r="E293" s="431"/>
      <c r="F293" s="431"/>
      <c r="G293" s="431"/>
      <c r="H293" s="431"/>
      <c r="I293" s="431"/>
      <c r="J293" s="432"/>
    </row>
    <row r="294" spans="1:10" ht="13.5" thickBot="1" x14ac:dyDescent="0.25"/>
    <row r="295" spans="1:10" x14ac:dyDescent="0.2">
      <c r="A295" s="103"/>
      <c r="B295" s="100" t="s">
        <v>60</v>
      </c>
      <c r="C295" s="94" t="s">
        <v>96</v>
      </c>
      <c r="D295" s="94" t="s">
        <v>97</v>
      </c>
      <c r="E295" s="93" t="s">
        <v>162</v>
      </c>
      <c r="F295" s="93" t="s">
        <v>163</v>
      </c>
      <c r="G295" s="93" t="s">
        <v>164</v>
      </c>
      <c r="H295" s="93" t="s">
        <v>221</v>
      </c>
      <c r="I295" s="93" t="s">
        <v>220</v>
      </c>
      <c r="J295" s="226" t="s">
        <v>161</v>
      </c>
    </row>
    <row r="296" spans="1:10" ht="23.25" x14ac:dyDescent="0.2">
      <c r="A296" s="268" t="str">
        <f>'1-zapasy'!A102</f>
        <v>M-4</v>
      </c>
      <c r="B296" s="101"/>
      <c r="C296" s="99" t="e">
        <f>LEFT('1-zapasy'!B102,SEARCH("(",'1-zapasy'!B102)-1)</f>
        <v>#VALUE!</v>
      </c>
      <c r="D296" s="99" t="e">
        <f>LEFT('1-zapasy'!C102,SEARCH("(",'1-zapasy'!C102)-1)</f>
        <v>#VALUE!</v>
      </c>
      <c r="E296" s="96"/>
      <c r="F296" s="96"/>
      <c r="G296" s="96"/>
      <c r="H296" s="96"/>
      <c r="I296" s="96"/>
      <c r="J296" s="113"/>
    </row>
    <row r="297" spans="1:10" ht="24" thickBot="1" x14ac:dyDescent="0.25">
      <c r="A297" s="429" t="s">
        <v>165</v>
      </c>
      <c r="B297" s="430"/>
      <c r="C297" s="98" t="e">
        <f>C292</f>
        <v>#VALUE!</v>
      </c>
      <c r="D297" s="92" t="s">
        <v>166</v>
      </c>
      <c r="E297" s="431"/>
      <c r="F297" s="431"/>
      <c r="G297" s="431"/>
      <c r="H297" s="431"/>
      <c r="I297" s="431"/>
      <c r="J297" s="432"/>
    </row>
    <row r="298" spans="1:10" ht="13.5" thickBot="1" x14ac:dyDescent="0.25">
      <c r="A298" s="105"/>
    </row>
    <row r="299" spans="1:10" x14ac:dyDescent="0.2">
      <c r="A299" s="103"/>
      <c r="B299" s="100" t="s">
        <v>60</v>
      </c>
      <c r="C299" s="94" t="s">
        <v>96</v>
      </c>
      <c r="D299" s="94" t="s">
        <v>97</v>
      </c>
      <c r="E299" s="93" t="s">
        <v>162</v>
      </c>
      <c r="F299" s="93" t="s">
        <v>163</v>
      </c>
      <c r="G299" s="93" t="s">
        <v>164</v>
      </c>
      <c r="H299" s="93" t="s">
        <v>221</v>
      </c>
      <c r="I299" s="93" t="s">
        <v>220</v>
      </c>
      <c r="J299" s="226" t="s">
        <v>161</v>
      </c>
    </row>
    <row r="300" spans="1:10" ht="23.25" x14ac:dyDescent="0.2">
      <c r="A300" s="268" t="str">
        <f>'1-zapasy'!A103</f>
        <v>M-5</v>
      </c>
      <c r="B300" s="101"/>
      <c r="C300" s="99" t="e">
        <f>LEFT('1-zapasy'!B103,SEARCH("(",'1-zapasy'!B103)-1)</f>
        <v>#VALUE!</v>
      </c>
      <c r="D300" s="99" t="e">
        <f>LEFT('1-zapasy'!C103,SEARCH("(",'1-zapasy'!C103)-1)</f>
        <v>#VALUE!</v>
      </c>
      <c r="E300" s="96"/>
      <c r="F300" s="96"/>
      <c r="G300" s="96"/>
      <c r="H300" s="96"/>
      <c r="I300" s="96"/>
      <c r="J300" s="113"/>
    </row>
    <row r="301" spans="1:10" ht="24" thickBot="1" x14ac:dyDescent="0.25">
      <c r="A301" s="429" t="s">
        <v>165</v>
      </c>
      <c r="B301" s="430"/>
      <c r="C301" s="98" t="e">
        <f>C285</f>
        <v>#VALUE!</v>
      </c>
      <c r="D301" s="92" t="s">
        <v>166</v>
      </c>
      <c r="E301" s="431"/>
      <c r="F301" s="431"/>
      <c r="G301" s="431"/>
      <c r="H301" s="431"/>
      <c r="I301" s="431"/>
      <c r="J301" s="432"/>
    </row>
    <row r="302" spans="1:10" ht="13.5" thickBot="1" x14ac:dyDescent="0.25"/>
    <row r="303" spans="1:10" x14ac:dyDescent="0.2">
      <c r="A303" s="103"/>
      <c r="B303" s="100" t="s">
        <v>60</v>
      </c>
      <c r="C303" s="94" t="s">
        <v>96</v>
      </c>
      <c r="D303" s="94" t="s">
        <v>97</v>
      </c>
      <c r="E303" s="93" t="s">
        <v>162</v>
      </c>
      <c r="F303" s="93" t="s">
        <v>163</v>
      </c>
      <c r="G303" s="93" t="s">
        <v>164</v>
      </c>
      <c r="H303" s="93" t="s">
        <v>221</v>
      </c>
      <c r="I303" s="93" t="s">
        <v>220</v>
      </c>
      <c r="J303" s="226" t="s">
        <v>161</v>
      </c>
    </row>
    <row r="304" spans="1:10" ht="23.25" x14ac:dyDescent="0.2">
      <c r="A304" s="268" t="str">
        <f>'1-zapasy'!A104</f>
        <v>M-6</v>
      </c>
      <c r="B304" s="101"/>
      <c r="C304" s="99" t="e">
        <f>LEFT('1-zapasy'!B104,SEARCH("(",'1-zapasy'!B104)-1)</f>
        <v>#VALUE!</v>
      </c>
      <c r="D304" s="99" t="e">
        <f>LEFT('1-zapasy'!C104,SEARCH("(",'1-zapasy'!C104)-1)</f>
        <v>#VALUE!</v>
      </c>
      <c r="E304" s="96"/>
      <c r="F304" s="96"/>
      <c r="G304" s="96"/>
      <c r="H304" s="96"/>
      <c r="I304" s="96"/>
      <c r="J304" s="113"/>
    </row>
    <row r="305" spans="1:10" ht="24" thickBot="1" x14ac:dyDescent="0.25">
      <c r="A305" s="429" t="s">
        <v>165</v>
      </c>
      <c r="B305" s="430"/>
      <c r="C305" s="98" t="e">
        <f>C293</f>
        <v>#VALUE!</v>
      </c>
      <c r="D305" s="92" t="s">
        <v>166</v>
      </c>
      <c r="E305" s="431"/>
      <c r="F305" s="431"/>
      <c r="G305" s="431"/>
      <c r="H305" s="431"/>
      <c r="I305" s="431"/>
      <c r="J305" s="432"/>
    </row>
    <row r="306" spans="1:10" ht="13.5" thickBot="1" x14ac:dyDescent="0.25">
      <c r="A306" s="105"/>
    </row>
    <row r="307" spans="1:10" x14ac:dyDescent="0.2">
      <c r="A307" s="103"/>
      <c r="B307" s="100" t="s">
        <v>60</v>
      </c>
      <c r="C307" s="94" t="s">
        <v>96</v>
      </c>
      <c r="D307" s="94" t="s">
        <v>97</v>
      </c>
      <c r="E307" s="93" t="s">
        <v>162</v>
      </c>
      <c r="F307" s="93" t="s">
        <v>163</v>
      </c>
      <c r="G307" s="93" t="s">
        <v>164</v>
      </c>
      <c r="H307" s="93" t="s">
        <v>221</v>
      </c>
      <c r="I307" s="93" t="s">
        <v>220</v>
      </c>
      <c r="J307" s="226" t="s">
        <v>161</v>
      </c>
    </row>
    <row r="308" spans="1:10" ht="23.25" x14ac:dyDescent="0.2">
      <c r="A308" s="268" t="str">
        <f>'1-zapasy'!A107</f>
        <v>N-1</v>
      </c>
      <c r="B308" s="101"/>
      <c r="C308" s="99" t="e">
        <f>LEFT('1-zapasy'!B107,SEARCH("(",'1-zapasy'!B107)-1)</f>
        <v>#VALUE!</v>
      </c>
      <c r="D308" s="99" t="e">
        <f>LEFT('1-zapasy'!C107,SEARCH("(",'1-zapasy'!C107)-1)</f>
        <v>#VALUE!</v>
      </c>
      <c r="E308" s="225"/>
      <c r="F308" s="96"/>
      <c r="G308" s="96"/>
      <c r="H308" s="96"/>
      <c r="I308" s="96"/>
      <c r="J308" s="113"/>
    </row>
    <row r="309" spans="1:10" ht="24" thickBot="1" x14ac:dyDescent="0.25">
      <c r="A309" s="429" t="s">
        <v>165</v>
      </c>
      <c r="B309" s="430"/>
      <c r="C309" s="98" t="e">
        <f>C312</f>
        <v>#VALUE!</v>
      </c>
      <c r="D309" s="92" t="s">
        <v>166</v>
      </c>
      <c r="E309" s="431"/>
      <c r="F309" s="431"/>
      <c r="G309" s="431"/>
      <c r="H309" s="431"/>
      <c r="I309" s="431"/>
      <c r="J309" s="432"/>
    </row>
    <row r="310" spans="1:10" ht="13.5" thickBot="1" x14ac:dyDescent="0.25"/>
    <row r="311" spans="1:10" x14ac:dyDescent="0.2">
      <c r="A311" s="103"/>
      <c r="B311" s="100" t="s">
        <v>60</v>
      </c>
      <c r="C311" s="94" t="s">
        <v>96</v>
      </c>
      <c r="D311" s="94" t="s">
        <v>97</v>
      </c>
      <c r="E311" s="93" t="s">
        <v>162</v>
      </c>
      <c r="F311" s="93" t="s">
        <v>163</v>
      </c>
      <c r="G311" s="93" t="s">
        <v>164</v>
      </c>
      <c r="H311" s="93" t="s">
        <v>221</v>
      </c>
      <c r="I311" s="93" t="s">
        <v>220</v>
      </c>
      <c r="J311" s="226" t="s">
        <v>161</v>
      </c>
    </row>
    <row r="312" spans="1:10" ht="23.25" x14ac:dyDescent="0.2">
      <c r="A312" s="268" t="str">
        <f>'1-zapasy'!A108</f>
        <v>N-2</v>
      </c>
      <c r="B312" s="101"/>
      <c r="C312" s="99" t="e">
        <f>LEFT('1-zapasy'!B108,SEARCH("(",'1-zapasy'!B108)-1)</f>
        <v>#VALUE!</v>
      </c>
      <c r="D312" s="99" t="e">
        <f>LEFT('1-zapasy'!C108,SEARCH("(",'1-zapasy'!C108)-1)</f>
        <v>#VALUE!</v>
      </c>
      <c r="E312" s="96"/>
      <c r="F312" s="96"/>
      <c r="G312" s="96"/>
      <c r="H312" s="96"/>
      <c r="I312" s="96"/>
      <c r="J312" s="113"/>
    </row>
    <row r="313" spans="1:10" ht="24" thickBot="1" x14ac:dyDescent="0.25">
      <c r="A313" s="429" t="s">
        <v>165</v>
      </c>
      <c r="B313" s="430"/>
      <c r="C313" s="98" t="e">
        <f>C308</f>
        <v>#VALUE!</v>
      </c>
      <c r="D313" s="92" t="s">
        <v>166</v>
      </c>
      <c r="E313" s="431"/>
      <c r="F313" s="431"/>
      <c r="G313" s="431"/>
      <c r="H313" s="431"/>
      <c r="I313" s="431"/>
      <c r="J313" s="432"/>
    </row>
    <row r="314" spans="1:10" ht="13.5" thickBot="1" x14ac:dyDescent="0.25">
      <c r="A314" s="105"/>
    </row>
    <row r="315" spans="1:10" x14ac:dyDescent="0.2">
      <c r="A315" s="103"/>
      <c r="B315" s="100" t="s">
        <v>60</v>
      </c>
      <c r="C315" s="94" t="s">
        <v>96</v>
      </c>
      <c r="D315" s="94" t="s">
        <v>97</v>
      </c>
      <c r="E315" s="93" t="s">
        <v>162</v>
      </c>
      <c r="F315" s="93" t="s">
        <v>163</v>
      </c>
      <c r="G315" s="93" t="s">
        <v>164</v>
      </c>
      <c r="H315" s="93" t="s">
        <v>221</v>
      </c>
      <c r="I315" s="93" t="s">
        <v>220</v>
      </c>
      <c r="J315" s="226" t="s">
        <v>161</v>
      </c>
    </row>
    <row r="316" spans="1:10" ht="23.25" x14ac:dyDescent="0.2">
      <c r="A316" s="268" t="str">
        <f>'1-zapasy'!A109</f>
        <v>N-3</v>
      </c>
      <c r="B316" s="101"/>
      <c r="C316" s="99" t="e">
        <f>LEFT('1-zapasy'!B109,SEARCH("(",'1-zapasy'!B109)-1)</f>
        <v>#VALUE!</v>
      </c>
      <c r="D316" s="99" t="e">
        <f>LEFT('1-zapasy'!C109,SEARCH("(",'1-zapasy'!C109)-1)</f>
        <v>#VALUE!</v>
      </c>
      <c r="E316" s="96"/>
      <c r="F316" s="96"/>
      <c r="G316" s="96"/>
      <c r="H316" s="96"/>
      <c r="I316" s="96"/>
      <c r="J316" s="113"/>
    </row>
    <row r="317" spans="1:10" ht="24" thickBot="1" x14ac:dyDescent="0.25">
      <c r="A317" s="429" t="s">
        <v>165</v>
      </c>
      <c r="B317" s="430"/>
      <c r="C317" s="98" t="e">
        <f>C304</f>
        <v>#VALUE!</v>
      </c>
      <c r="D317" s="92" t="s">
        <v>166</v>
      </c>
      <c r="E317" s="431"/>
      <c r="F317" s="431"/>
      <c r="G317" s="431"/>
      <c r="H317" s="431"/>
      <c r="I317" s="431"/>
      <c r="J317" s="432"/>
    </row>
    <row r="318" spans="1:10" ht="13.5" thickBot="1" x14ac:dyDescent="0.25">
      <c r="A318" s="105"/>
    </row>
    <row r="319" spans="1:10" x14ac:dyDescent="0.2">
      <c r="A319" s="103"/>
      <c r="B319" s="100" t="s">
        <v>60</v>
      </c>
      <c r="C319" s="94" t="s">
        <v>96</v>
      </c>
      <c r="D319" s="94" t="s">
        <v>97</v>
      </c>
      <c r="E319" s="93" t="s">
        <v>162</v>
      </c>
      <c r="F319" s="93" t="s">
        <v>163</v>
      </c>
      <c r="G319" s="93" t="s">
        <v>164</v>
      </c>
      <c r="H319" s="93" t="s">
        <v>221</v>
      </c>
      <c r="I319" s="93" t="s">
        <v>220</v>
      </c>
      <c r="J319" s="226" t="s">
        <v>161</v>
      </c>
    </row>
    <row r="320" spans="1:10" ht="23.25" x14ac:dyDescent="0.2">
      <c r="A320" s="268" t="str">
        <f>'1-zapasy'!A110</f>
        <v>N-4</v>
      </c>
      <c r="B320" s="101"/>
      <c r="C320" s="99" t="e">
        <f>LEFT('1-zapasy'!B110,SEARCH("(",'1-zapasy'!B110)-1)</f>
        <v>#VALUE!</v>
      </c>
      <c r="D320" s="99" t="e">
        <f>LEFT('1-zapasy'!C110,SEARCH("(",'1-zapasy'!C110)-1)</f>
        <v>#VALUE!</v>
      </c>
      <c r="E320" s="96"/>
      <c r="F320" s="96"/>
      <c r="G320" s="96"/>
      <c r="H320" s="96"/>
      <c r="I320" s="96"/>
      <c r="J320" s="113"/>
    </row>
    <row r="321" spans="1:10" ht="24" thickBot="1" x14ac:dyDescent="0.25">
      <c r="A321" s="429" t="s">
        <v>165</v>
      </c>
      <c r="B321" s="430"/>
      <c r="C321" s="98" t="e">
        <f>C316</f>
        <v>#VALUE!</v>
      </c>
      <c r="D321" s="92" t="s">
        <v>166</v>
      </c>
      <c r="E321" s="431"/>
      <c r="F321" s="431"/>
      <c r="G321" s="431"/>
      <c r="H321" s="431"/>
      <c r="I321" s="431"/>
      <c r="J321" s="432"/>
    </row>
    <row r="322" spans="1:10" ht="13.5" thickBot="1" x14ac:dyDescent="0.25">
      <c r="A322" s="105"/>
    </row>
    <row r="323" spans="1:10" x14ac:dyDescent="0.2">
      <c r="A323" s="103"/>
      <c r="B323" s="100" t="s">
        <v>60</v>
      </c>
      <c r="C323" s="94" t="s">
        <v>96</v>
      </c>
      <c r="D323" s="94" t="s">
        <v>97</v>
      </c>
      <c r="E323" s="93" t="s">
        <v>162</v>
      </c>
      <c r="F323" s="93" t="s">
        <v>163</v>
      </c>
      <c r="G323" s="93" t="s">
        <v>164</v>
      </c>
      <c r="H323" s="93" t="s">
        <v>221</v>
      </c>
      <c r="I323" s="93" t="s">
        <v>220</v>
      </c>
      <c r="J323" s="226" t="s">
        <v>161</v>
      </c>
    </row>
    <row r="324" spans="1:10" ht="23.25" x14ac:dyDescent="0.2">
      <c r="A324" s="268" t="str">
        <f>'1-zapasy'!A111</f>
        <v>N-5</v>
      </c>
      <c r="B324" s="101"/>
      <c r="C324" s="99" t="e">
        <f>LEFT('1-zapasy'!B111,SEARCH("(",'1-zapasy'!B111)-1)</f>
        <v>#VALUE!</v>
      </c>
      <c r="D324" s="99" t="e">
        <f>LEFT('1-zapasy'!C111,SEARCH("(",'1-zapasy'!C111)-1)</f>
        <v>#VALUE!</v>
      </c>
      <c r="E324" s="96"/>
      <c r="F324" s="96"/>
      <c r="G324" s="96"/>
      <c r="H324" s="96"/>
      <c r="I324" s="96"/>
      <c r="J324" s="113"/>
    </row>
    <row r="325" spans="1:10" ht="24" thickBot="1" x14ac:dyDescent="0.25">
      <c r="A325" s="429" t="s">
        <v>165</v>
      </c>
      <c r="B325" s="430"/>
      <c r="C325" s="98" t="e">
        <f>C309</f>
        <v>#VALUE!</v>
      </c>
      <c r="D325" s="92" t="s">
        <v>166</v>
      </c>
      <c r="E325" s="431"/>
      <c r="F325" s="431"/>
      <c r="G325" s="431"/>
      <c r="H325" s="431"/>
      <c r="I325" s="431"/>
      <c r="J325" s="432"/>
    </row>
    <row r="326" spans="1:10" ht="13.5" thickBot="1" x14ac:dyDescent="0.25"/>
    <row r="327" spans="1:10" x14ac:dyDescent="0.2">
      <c r="A327" s="103"/>
      <c r="B327" s="100" t="s">
        <v>60</v>
      </c>
      <c r="C327" s="94" t="s">
        <v>96</v>
      </c>
      <c r="D327" s="94" t="s">
        <v>97</v>
      </c>
      <c r="E327" s="93" t="s">
        <v>162</v>
      </c>
      <c r="F327" s="93" t="s">
        <v>163</v>
      </c>
      <c r="G327" s="93" t="s">
        <v>164</v>
      </c>
      <c r="H327" s="93" t="s">
        <v>221</v>
      </c>
      <c r="I327" s="93" t="s">
        <v>220</v>
      </c>
      <c r="J327" s="226" t="s">
        <v>161</v>
      </c>
    </row>
    <row r="328" spans="1:10" ht="23.25" x14ac:dyDescent="0.2">
      <c r="A328" s="268" t="str">
        <f>'1-zapasy'!A112</f>
        <v>N-6</v>
      </c>
      <c r="B328" s="101"/>
      <c r="C328" s="99" t="e">
        <f>LEFT('1-zapasy'!B112,SEARCH("(",'1-zapasy'!B112)-1)</f>
        <v>#VALUE!</v>
      </c>
      <c r="D328" s="99" t="e">
        <f>LEFT('1-zapasy'!C112,SEARCH("(",'1-zapasy'!C112)-1)</f>
        <v>#VALUE!</v>
      </c>
      <c r="E328" s="96"/>
      <c r="F328" s="96"/>
      <c r="G328" s="96"/>
      <c r="H328" s="96"/>
      <c r="I328" s="96"/>
      <c r="J328" s="113"/>
    </row>
    <row r="329" spans="1:10" ht="24" thickBot="1" x14ac:dyDescent="0.25">
      <c r="A329" s="429" t="s">
        <v>165</v>
      </c>
      <c r="B329" s="430"/>
      <c r="C329" s="98" t="e">
        <f>C317</f>
        <v>#VALUE!</v>
      </c>
      <c r="D329" s="92" t="s">
        <v>166</v>
      </c>
      <c r="E329" s="431"/>
      <c r="F329" s="431"/>
      <c r="G329" s="431"/>
      <c r="H329" s="431"/>
      <c r="I329" s="431"/>
      <c r="J329" s="432"/>
    </row>
    <row r="330" spans="1:10" x14ac:dyDescent="0.2">
      <c r="A330" s="103"/>
      <c r="B330" s="100" t="s">
        <v>60</v>
      </c>
      <c r="C330" s="94" t="s">
        <v>96</v>
      </c>
      <c r="D330" s="94" t="s">
        <v>97</v>
      </c>
      <c r="E330" s="93" t="s">
        <v>162</v>
      </c>
      <c r="F330" s="93" t="s">
        <v>163</v>
      </c>
      <c r="G330" s="93" t="s">
        <v>164</v>
      </c>
      <c r="H330" s="93" t="s">
        <v>221</v>
      </c>
      <c r="I330" s="93" t="s">
        <v>220</v>
      </c>
      <c r="J330" s="226" t="s">
        <v>161</v>
      </c>
    </row>
    <row r="331" spans="1:10" ht="23.25" x14ac:dyDescent="0.2">
      <c r="A331" s="268" t="str">
        <f>'1-zapasy'!A115</f>
        <v>O-1</v>
      </c>
      <c r="B331" s="101"/>
      <c r="C331" s="99" t="e">
        <f>LEFT('1-zapasy'!B115,SEARCH("(",'1-zapasy'!B115)-1)</f>
        <v>#VALUE!</v>
      </c>
      <c r="D331" s="99" t="e">
        <f>LEFT('1-zapasy'!C115,SEARCH("(",'1-zapasy'!C115)-1)</f>
        <v>#VALUE!</v>
      </c>
      <c r="E331" s="225"/>
      <c r="F331" s="96"/>
      <c r="G331" s="96"/>
      <c r="H331" s="96"/>
      <c r="I331" s="96"/>
      <c r="J331" s="113"/>
    </row>
    <row r="332" spans="1:10" ht="24" thickBot="1" x14ac:dyDescent="0.25">
      <c r="A332" s="429" t="s">
        <v>165</v>
      </c>
      <c r="B332" s="430"/>
      <c r="C332" s="98" t="e">
        <f>C335</f>
        <v>#VALUE!</v>
      </c>
      <c r="D332" s="92" t="s">
        <v>166</v>
      </c>
      <c r="E332" s="431"/>
      <c r="F332" s="431"/>
      <c r="G332" s="431"/>
      <c r="H332" s="431"/>
      <c r="I332" s="431"/>
      <c r="J332" s="432"/>
    </row>
    <row r="333" spans="1:10" ht="13.5" thickBot="1" x14ac:dyDescent="0.25"/>
    <row r="334" spans="1:10" x14ac:dyDescent="0.2">
      <c r="A334" s="103"/>
      <c r="B334" s="100" t="s">
        <v>60</v>
      </c>
      <c r="C334" s="94" t="s">
        <v>96</v>
      </c>
      <c r="D334" s="94" t="s">
        <v>97</v>
      </c>
      <c r="E334" s="93" t="s">
        <v>162</v>
      </c>
      <c r="F334" s="93" t="s">
        <v>163</v>
      </c>
      <c r="G334" s="93" t="s">
        <v>164</v>
      </c>
      <c r="H334" s="93" t="s">
        <v>221</v>
      </c>
      <c r="I334" s="93" t="s">
        <v>220</v>
      </c>
      <c r="J334" s="226" t="s">
        <v>161</v>
      </c>
    </row>
    <row r="335" spans="1:10" ht="23.25" x14ac:dyDescent="0.2">
      <c r="A335" s="268" t="str">
        <f>'1-zapasy'!A116</f>
        <v>O-2</v>
      </c>
      <c r="B335" s="101"/>
      <c r="C335" s="99" t="e">
        <f>LEFT('1-zapasy'!B116,SEARCH("(",'1-zapasy'!B116)-1)</f>
        <v>#VALUE!</v>
      </c>
      <c r="D335" s="99" t="e">
        <f>LEFT('1-zapasy'!C116,SEARCH("(",'1-zapasy'!C116)-1)</f>
        <v>#VALUE!</v>
      </c>
      <c r="E335" s="96"/>
      <c r="F335" s="96"/>
      <c r="G335" s="96"/>
      <c r="H335" s="96"/>
      <c r="I335" s="96"/>
      <c r="J335" s="113"/>
    </row>
    <row r="336" spans="1:10" ht="24" thickBot="1" x14ac:dyDescent="0.25">
      <c r="A336" s="429" t="s">
        <v>165</v>
      </c>
      <c r="B336" s="430"/>
      <c r="C336" s="98" t="e">
        <f>C331</f>
        <v>#VALUE!</v>
      </c>
      <c r="D336" s="92" t="s">
        <v>166</v>
      </c>
      <c r="E336" s="431"/>
      <c r="F336" s="431"/>
      <c r="G336" s="431"/>
      <c r="H336" s="431"/>
      <c r="I336" s="431"/>
      <c r="J336" s="432"/>
    </row>
    <row r="337" spans="1:10" ht="13.5" thickBot="1" x14ac:dyDescent="0.25">
      <c r="A337" s="105"/>
    </row>
    <row r="338" spans="1:10" x14ac:dyDescent="0.2">
      <c r="A338" s="103"/>
      <c r="B338" s="100" t="s">
        <v>60</v>
      </c>
      <c r="C338" s="94" t="s">
        <v>96</v>
      </c>
      <c r="D338" s="94" t="s">
        <v>97</v>
      </c>
      <c r="E338" s="93" t="s">
        <v>162</v>
      </c>
      <c r="F338" s="93" t="s">
        <v>163</v>
      </c>
      <c r="G338" s="93" t="s">
        <v>164</v>
      </c>
      <c r="H338" s="93" t="s">
        <v>221</v>
      </c>
      <c r="I338" s="93" t="s">
        <v>220</v>
      </c>
      <c r="J338" s="226" t="s">
        <v>161</v>
      </c>
    </row>
    <row r="339" spans="1:10" ht="23.25" x14ac:dyDescent="0.2">
      <c r="A339" s="268" t="str">
        <f>'1-zapasy'!A117</f>
        <v>O-3</v>
      </c>
      <c r="B339" s="101"/>
      <c r="C339" s="99" t="e">
        <f>LEFT('1-zapasy'!B117,SEARCH("(",'1-zapasy'!B117)-1)</f>
        <v>#VALUE!</v>
      </c>
      <c r="D339" s="99" t="e">
        <f>LEFT('1-zapasy'!C117,SEARCH("(",'1-zapasy'!C117)-1)</f>
        <v>#VALUE!</v>
      </c>
      <c r="E339" s="96"/>
      <c r="F339" s="96"/>
      <c r="G339" s="96"/>
      <c r="H339" s="96"/>
      <c r="I339" s="96"/>
      <c r="J339" s="113"/>
    </row>
    <row r="340" spans="1:10" ht="24" thickBot="1" x14ac:dyDescent="0.25">
      <c r="A340" s="429" t="s">
        <v>165</v>
      </c>
      <c r="B340" s="430"/>
      <c r="C340" s="98" t="e">
        <f>C343</f>
        <v>#VALUE!</v>
      </c>
      <c r="D340" s="92" t="s">
        <v>166</v>
      </c>
      <c r="E340" s="431"/>
      <c r="F340" s="431"/>
      <c r="G340" s="431"/>
      <c r="H340" s="431"/>
      <c r="I340" s="431"/>
      <c r="J340" s="432"/>
    </row>
    <row r="341" spans="1:10" ht="13.5" thickBot="1" x14ac:dyDescent="0.25"/>
    <row r="342" spans="1:10" x14ac:dyDescent="0.2">
      <c r="A342" s="103"/>
      <c r="B342" s="100" t="s">
        <v>60</v>
      </c>
      <c r="C342" s="94" t="s">
        <v>96</v>
      </c>
      <c r="D342" s="94" t="s">
        <v>97</v>
      </c>
      <c r="E342" s="93" t="s">
        <v>162</v>
      </c>
      <c r="F342" s="93" t="s">
        <v>163</v>
      </c>
      <c r="G342" s="93" t="s">
        <v>164</v>
      </c>
      <c r="H342" s="93" t="s">
        <v>221</v>
      </c>
      <c r="I342" s="93" t="s">
        <v>220</v>
      </c>
      <c r="J342" s="226" t="s">
        <v>161</v>
      </c>
    </row>
    <row r="343" spans="1:10" ht="23.25" x14ac:dyDescent="0.2">
      <c r="A343" s="268" t="str">
        <f>'1-zapasy'!A118</f>
        <v>O-4</v>
      </c>
      <c r="B343" s="101"/>
      <c r="C343" s="99" t="e">
        <f>LEFT('1-zapasy'!B118,SEARCH("(",'1-zapasy'!B118)-1)</f>
        <v>#VALUE!</v>
      </c>
      <c r="D343" s="99" t="e">
        <f>LEFT('1-zapasy'!C118,SEARCH("(",'1-zapasy'!C118)-1)</f>
        <v>#VALUE!</v>
      </c>
      <c r="E343" s="96"/>
      <c r="F343" s="96"/>
      <c r="G343" s="96"/>
      <c r="H343" s="96"/>
      <c r="I343" s="96"/>
      <c r="J343" s="113"/>
    </row>
    <row r="344" spans="1:10" ht="24" thickBot="1" x14ac:dyDescent="0.25">
      <c r="A344" s="429" t="s">
        <v>165</v>
      </c>
      <c r="B344" s="430"/>
      <c r="C344" s="98" t="e">
        <f>C339</f>
        <v>#VALUE!</v>
      </c>
      <c r="D344" s="92" t="s">
        <v>166</v>
      </c>
      <c r="E344" s="431"/>
      <c r="F344" s="431"/>
      <c r="G344" s="431"/>
      <c r="H344" s="431"/>
      <c r="I344" s="431"/>
      <c r="J344" s="432"/>
    </row>
    <row r="345" spans="1:10" ht="13.5" thickBot="1" x14ac:dyDescent="0.25">
      <c r="A345" s="105"/>
    </row>
    <row r="346" spans="1:10" x14ac:dyDescent="0.2">
      <c r="A346" s="103"/>
      <c r="B346" s="100" t="s">
        <v>60</v>
      </c>
      <c r="C346" s="94" t="s">
        <v>96</v>
      </c>
      <c r="D346" s="94" t="s">
        <v>97</v>
      </c>
      <c r="E346" s="93" t="s">
        <v>162</v>
      </c>
      <c r="F346" s="93" t="s">
        <v>163</v>
      </c>
      <c r="G346" s="93" t="s">
        <v>164</v>
      </c>
      <c r="H346" s="93" t="s">
        <v>221</v>
      </c>
      <c r="I346" s="93" t="s">
        <v>220</v>
      </c>
      <c r="J346" s="226" t="s">
        <v>161</v>
      </c>
    </row>
    <row r="347" spans="1:10" ht="23.25" x14ac:dyDescent="0.2">
      <c r="A347" s="268" t="str">
        <f>'1-zapasy'!A119</f>
        <v>O-5</v>
      </c>
      <c r="B347" s="101"/>
      <c r="C347" s="99" t="e">
        <f>LEFT('1-zapasy'!B119,SEARCH("(",'1-zapasy'!B119)-1)</f>
        <v>#VALUE!</v>
      </c>
      <c r="D347" s="99" t="e">
        <f>LEFT('1-zapasy'!C119,SEARCH("(",'1-zapasy'!C119)-1)</f>
        <v>#VALUE!</v>
      </c>
      <c r="E347" s="96"/>
      <c r="F347" s="96"/>
      <c r="G347" s="96"/>
      <c r="H347" s="96"/>
      <c r="I347" s="96"/>
      <c r="J347" s="113"/>
    </row>
    <row r="348" spans="1:10" ht="24" thickBot="1" x14ac:dyDescent="0.25">
      <c r="A348" s="429" t="s">
        <v>165</v>
      </c>
      <c r="B348" s="430"/>
      <c r="C348" s="98" t="e">
        <f>C332</f>
        <v>#VALUE!</v>
      </c>
      <c r="D348" s="92" t="s">
        <v>166</v>
      </c>
      <c r="E348" s="431"/>
      <c r="F348" s="431"/>
      <c r="G348" s="431"/>
      <c r="H348" s="431"/>
      <c r="I348" s="431"/>
      <c r="J348" s="432"/>
    </row>
    <row r="349" spans="1:10" ht="13.5" thickBot="1" x14ac:dyDescent="0.25"/>
    <row r="350" spans="1:10" x14ac:dyDescent="0.2">
      <c r="A350" s="103"/>
      <c r="B350" s="100" t="s">
        <v>60</v>
      </c>
      <c r="C350" s="94" t="s">
        <v>96</v>
      </c>
      <c r="D350" s="94" t="s">
        <v>97</v>
      </c>
      <c r="E350" s="93" t="s">
        <v>162</v>
      </c>
      <c r="F350" s="93" t="s">
        <v>163</v>
      </c>
      <c r="G350" s="93" t="s">
        <v>164</v>
      </c>
      <c r="H350" s="93" t="s">
        <v>221</v>
      </c>
      <c r="I350" s="93" t="s">
        <v>220</v>
      </c>
      <c r="J350" s="226" t="s">
        <v>161</v>
      </c>
    </row>
    <row r="351" spans="1:10" ht="23.25" x14ac:dyDescent="0.2">
      <c r="A351" s="268" t="str">
        <f>'1-zapasy'!A120</f>
        <v>O-6</v>
      </c>
      <c r="B351" s="101"/>
      <c r="C351" s="99" t="e">
        <f>LEFT('1-zapasy'!B120,SEARCH("(",'1-zapasy'!B120)-1)</f>
        <v>#VALUE!</v>
      </c>
      <c r="D351" s="99" t="e">
        <f>LEFT('1-zapasy'!C120,SEARCH("(",'1-zapasy'!C120)-1)</f>
        <v>#VALUE!</v>
      </c>
      <c r="E351" s="96"/>
      <c r="F351" s="96"/>
      <c r="G351" s="96"/>
      <c r="H351" s="96"/>
      <c r="I351" s="96"/>
      <c r="J351" s="113"/>
    </row>
    <row r="352" spans="1:10" ht="24" thickBot="1" x14ac:dyDescent="0.25">
      <c r="A352" s="429" t="s">
        <v>165</v>
      </c>
      <c r="B352" s="430"/>
      <c r="C352" s="98" t="e">
        <f>C340</f>
        <v>#VALUE!</v>
      </c>
      <c r="D352" s="92" t="s">
        <v>166</v>
      </c>
      <c r="E352" s="431"/>
      <c r="F352" s="431"/>
      <c r="G352" s="431"/>
      <c r="H352" s="431"/>
      <c r="I352" s="431"/>
      <c r="J352" s="432"/>
    </row>
    <row r="353" spans="1:10" ht="13.5" thickBot="1" x14ac:dyDescent="0.25">
      <c r="A353" s="105"/>
    </row>
    <row r="354" spans="1:10" x14ac:dyDescent="0.2">
      <c r="A354" s="103"/>
      <c r="B354" s="100" t="s">
        <v>60</v>
      </c>
      <c r="C354" s="94" t="s">
        <v>96</v>
      </c>
      <c r="D354" s="94" t="s">
        <v>97</v>
      </c>
      <c r="E354" s="93" t="s">
        <v>162</v>
      </c>
      <c r="F354" s="93" t="s">
        <v>163</v>
      </c>
      <c r="G354" s="93" t="s">
        <v>164</v>
      </c>
      <c r="H354" s="93" t="s">
        <v>221</v>
      </c>
      <c r="I354" s="93" t="s">
        <v>220</v>
      </c>
      <c r="J354" s="226" t="s">
        <v>161</v>
      </c>
    </row>
    <row r="355" spans="1:10" ht="23.25" x14ac:dyDescent="0.2">
      <c r="A355" s="268" t="str">
        <f>'1-zapasy'!A123</f>
        <v>P-1</v>
      </c>
      <c r="B355" s="101"/>
      <c r="C355" s="99" t="e">
        <f>LEFT('1-zapasy'!B123,SEARCH("(",'1-zapasy'!B123)-1)</f>
        <v>#VALUE!</v>
      </c>
      <c r="D355" s="99" t="e">
        <f>LEFT('1-zapasy'!C123,SEARCH("(",'1-zapasy'!C123)-1)</f>
        <v>#VALUE!</v>
      </c>
      <c r="E355" s="225"/>
      <c r="F355" s="96"/>
      <c r="G355" s="96"/>
      <c r="H355" s="96"/>
      <c r="I355" s="96"/>
      <c r="J355" s="113"/>
    </row>
    <row r="356" spans="1:10" ht="24" thickBot="1" x14ac:dyDescent="0.25">
      <c r="A356" s="429" t="s">
        <v>165</v>
      </c>
      <c r="B356" s="430"/>
      <c r="C356" s="98" t="e">
        <f>C359</f>
        <v>#VALUE!</v>
      </c>
      <c r="D356" s="92" t="s">
        <v>166</v>
      </c>
      <c r="E356" s="431"/>
      <c r="F356" s="431"/>
      <c r="G356" s="431"/>
      <c r="H356" s="431"/>
      <c r="I356" s="431"/>
      <c r="J356" s="432"/>
    </row>
    <row r="357" spans="1:10" ht="13.5" thickBot="1" x14ac:dyDescent="0.25"/>
    <row r="358" spans="1:10" x14ac:dyDescent="0.2">
      <c r="A358" s="103"/>
      <c r="B358" s="100" t="s">
        <v>60</v>
      </c>
      <c r="C358" s="94" t="s">
        <v>96</v>
      </c>
      <c r="D358" s="94" t="s">
        <v>97</v>
      </c>
      <c r="E358" s="93" t="s">
        <v>162</v>
      </c>
      <c r="F358" s="93" t="s">
        <v>163</v>
      </c>
      <c r="G358" s="93" t="s">
        <v>164</v>
      </c>
      <c r="H358" s="93" t="s">
        <v>221</v>
      </c>
      <c r="I358" s="93" t="s">
        <v>220</v>
      </c>
      <c r="J358" s="226" t="s">
        <v>161</v>
      </c>
    </row>
    <row r="359" spans="1:10" ht="23.25" x14ac:dyDescent="0.2">
      <c r="A359" s="268" t="str">
        <f>'1-zapasy'!A124</f>
        <v>P-2</v>
      </c>
      <c r="B359" s="101"/>
      <c r="C359" s="99" t="e">
        <f>LEFT('1-zapasy'!B124,SEARCH("(",'1-zapasy'!B124)-1)</f>
        <v>#VALUE!</v>
      </c>
      <c r="D359" s="99" t="e">
        <f>LEFT('1-zapasy'!C124,SEARCH("(",'1-zapasy'!C124)-1)</f>
        <v>#VALUE!</v>
      </c>
      <c r="E359" s="96"/>
      <c r="F359" s="96"/>
      <c r="G359" s="96"/>
      <c r="H359" s="96"/>
      <c r="I359" s="96"/>
      <c r="J359" s="113"/>
    </row>
    <row r="360" spans="1:10" ht="24" thickBot="1" x14ac:dyDescent="0.25">
      <c r="A360" s="429" t="s">
        <v>165</v>
      </c>
      <c r="B360" s="430"/>
      <c r="C360" s="98" t="e">
        <f>C355</f>
        <v>#VALUE!</v>
      </c>
      <c r="D360" s="92" t="s">
        <v>166</v>
      </c>
      <c r="E360" s="431"/>
      <c r="F360" s="431"/>
      <c r="G360" s="431"/>
      <c r="H360" s="431"/>
      <c r="I360" s="431"/>
      <c r="J360" s="432"/>
    </row>
    <row r="361" spans="1:10" ht="13.5" thickBot="1" x14ac:dyDescent="0.25">
      <c r="A361" s="105"/>
    </row>
    <row r="362" spans="1:10" x14ac:dyDescent="0.2">
      <c r="A362" s="103"/>
      <c r="B362" s="100" t="s">
        <v>60</v>
      </c>
      <c r="C362" s="94" t="s">
        <v>96</v>
      </c>
      <c r="D362" s="94" t="s">
        <v>97</v>
      </c>
      <c r="E362" s="93" t="s">
        <v>162</v>
      </c>
      <c r="F362" s="93" t="s">
        <v>163</v>
      </c>
      <c r="G362" s="93" t="s">
        <v>164</v>
      </c>
      <c r="H362" s="93" t="s">
        <v>221</v>
      </c>
      <c r="I362" s="93" t="s">
        <v>220</v>
      </c>
      <c r="J362" s="226" t="s">
        <v>161</v>
      </c>
    </row>
    <row r="363" spans="1:10" ht="23.25" x14ac:dyDescent="0.2">
      <c r="A363" s="268" t="str">
        <f>'1-zapasy'!A125</f>
        <v>P-3</v>
      </c>
      <c r="B363" s="101"/>
      <c r="C363" s="99" t="e">
        <f>LEFT('1-zapasy'!B125,SEARCH("(",'1-zapasy'!B125)-1)</f>
        <v>#VALUE!</v>
      </c>
      <c r="D363" s="99" t="e">
        <f>LEFT('1-zapasy'!C125,SEARCH("(",'1-zapasy'!C125)-1)</f>
        <v>#VALUE!</v>
      </c>
      <c r="E363" s="96"/>
      <c r="F363" s="96"/>
      <c r="G363" s="96"/>
      <c r="H363" s="96"/>
      <c r="I363" s="96"/>
      <c r="J363" s="113"/>
    </row>
    <row r="364" spans="1:10" ht="24" thickBot="1" x14ac:dyDescent="0.25">
      <c r="A364" s="429" t="s">
        <v>165</v>
      </c>
      <c r="B364" s="430"/>
      <c r="C364" s="98" t="e">
        <f>C367</f>
        <v>#VALUE!</v>
      </c>
      <c r="D364" s="92" t="s">
        <v>166</v>
      </c>
      <c r="E364" s="431"/>
      <c r="F364" s="431"/>
      <c r="G364" s="431"/>
      <c r="H364" s="431"/>
      <c r="I364" s="431"/>
      <c r="J364" s="432"/>
    </row>
    <row r="365" spans="1:10" ht="13.5" thickBot="1" x14ac:dyDescent="0.25">
      <c r="A365" s="105"/>
    </row>
    <row r="366" spans="1:10" x14ac:dyDescent="0.2">
      <c r="A366" s="103"/>
      <c r="B366" s="100" t="s">
        <v>60</v>
      </c>
      <c r="C366" s="94" t="s">
        <v>96</v>
      </c>
      <c r="D366" s="94" t="s">
        <v>97</v>
      </c>
      <c r="E366" s="93" t="s">
        <v>162</v>
      </c>
      <c r="F366" s="93" t="s">
        <v>163</v>
      </c>
      <c r="G366" s="93" t="s">
        <v>164</v>
      </c>
      <c r="H366" s="93" t="s">
        <v>221</v>
      </c>
      <c r="I366" s="93" t="s">
        <v>220</v>
      </c>
      <c r="J366" s="226" t="s">
        <v>161</v>
      </c>
    </row>
    <row r="367" spans="1:10" ht="23.25" x14ac:dyDescent="0.2">
      <c r="A367" s="268" t="str">
        <f>'1-zapasy'!A126</f>
        <v>P-4</v>
      </c>
      <c r="B367" s="101"/>
      <c r="C367" s="99" t="e">
        <f>LEFT('1-zapasy'!B126,SEARCH("(",'1-zapasy'!B126)-1)</f>
        <v>#VALUE!</v>
      </c>
      <c r="D367" s="99" t="e">
        <f>LEFT('1-zapasy'!C126,SEARCH("(",'1-zapasy'!C126)-1)</f>
        <v>#VALUE!</v>
      </c>
      <c r="E367" s="96"/>
      <c r="F367" s="96"/>
      <c r="G367" s="96"/>
      <c r="H367" s="96"/>
      <c r="I367" s="96"/>
      <c r="J367" s="113"/>
    </row>
    <row r="368" spans="1:10" ht="24" thickBot="1" x14ac:dyDescent="0.25">
      <c r="A368" s="429" t="s">
        <v>165</v>
      </c>
      <c r="B368" s="430"/>
      <c r="C368" s="98" t="e">
        <f>C363</f>
        <v>#VALUE!</v>
      </c>
      <c r="D368" s="92" t="s">
        <v>166</v>
      </c>
      <c r="E368" s="431"/>
      <c r="F368" s="431"/>
      <c r="G368" s="431"/>
      <c r="H368" s="431"/>
      <c r="I368" s="431"/>
      <c r="J368" s="432"/>
    </row>
    <row r="369" spans="1:10" ht="13.5" thickBot="1" x14ac:dyDescent="0.25">
      <c r="A369" s="105"/>
    </row>
    <row r="370" spans="1:10" x14ac:dyDescent="0.2">
      <c r="A370" s="103"/>
      <c r="B370" s="100" t="s">
        <v>60</v>
      </c>
      <c r="C370" s="94" t="s">
        <v>96</v>
      </c>
      <c r="D370" s="94" t="s">
        <v>97</v>
      </c>
      <c r="E370" s="93" t="s">
        <v>162</v>
      </c>
      <c r="F370" s="93" t="s">
        <v>163</v>
      </c>
      <c r="G370" s="93" t="s">
        <v>164</v>
      </c>
      <c r="H370" s="93" t="s">
        <v>221</v>
      </c>
      <c r="I370" s="93" t="s">
        <v>220</v>
      </c>
      <c r="J370" s="226" t="s">
        <v>161</v>
      </c>
    </row>
    <row r="371" spans="1:10" ht="23.25" x14ac:dyDescent="0.2">
      <c r="A371" s="268" t="str">
        <f>'1-zapasy'!A127</f>
        <v>P-5</v>
      </c>
      <c r="B371" s="101"/>
      <c r="C371" s="99" t="e">
        <f>LEFT('1-zapasy'!B127,SEARCH("(",'1-zapasy'!B127)-1)</f>
        <v>#VALUE!</v>
      </c>
      <c r="D371" s="99" t="e">
        <f>LEFT('1-zapasy'!C127,SEARCH("(",'1-zapasy'!C127)-1)</f>
        <v>#VALUE!</v>
      </c>
      <c r="E371" s="96"/>
      <c r="F371" s="96"/>
      <c r="G371" s="96"/>
      <c r="H371" s="96"/>
      <c r="I371" s="96"/>
      <c r="J371" s="113"/>
    </row>
    <row r="372" spans="1:10" ht="24" thickBot="1" x14ac:dyDescent="0.25">
      <c r="A372" s="429" t="s">
        <v>165</v>
      </c>
      <c r="B372" s="430"/>
      <c r="C372" s="98" t="e">
        <f>C356</f>
        <v>#VALUE!</v>
      </c>
      <c r="D372" s="92" t="s">
        <v>166</v>
      </c>
      <c r="E372" s="431"/>
      <c r="F372" s="431"/>
      <c r="G372" s="431"/>
      <c r="H372" s="431"/>
      <c r="I372" s="431"/>
      <c r="J372" s="432"/>
    </row>
    <row r="373" spans="1:10" ht="13.5" thickBot="1" x14ac:dyDescent="0.25"/>
    <row r="374" spans="1:10" x14ac:dyDescent="0.2">
      <c r="A374" s="103"/>
      <c r="B374" s="100" t="s">
        <v>60</v>
      </c>
      <c r="C374" s="94" t="s">
        <v>96</v>
      </c>
      <c r="D374" s="94" t="s">
        <v>97</v>
      </c>
      <c r="E374" s="93" t="s">
        <v>162</v>
      </c>
      <c r="F374" s="93" t="s">
        <v>163</v>
      </c>
      <c r="G374" s="93" t="s">
        <v>164</v>
      </c>
      <c r="H374" s="93" t="s">
        <v>221</v>
      </c>
      <c r="I374" s="93" t="s">
        <v>220</v>
      </c>
      <c r="J374" s="226" t="s">
        <v>161</v>
      </c>
    </row>
    <row r="375" spans="1:10" ht="23.25" x14ac:dyDescent="0.2">
      <c r="A375" s="268" t="str">
        <f>'1-zapasy'!A128</f>
        <v>P-6</v>
      </c>
      <c r="B375" s="101"/>
      <c r="C375" s="99" t="e">
        <f>LEFT('1-zapasy'!B128,SEARCH("(",'1-zapasy'!B128)-1)</f>
        <v>#VALUE!</v>
      </c>
      <c r="D375" s="99" t="e">
        <f>LEFT('1-zapasy'!C128,SEARCH("(",'1-zapasy'!C128)-1)</f>
        <v>#VALUE!</v>
      </c>
      <c r="E375" s="96"/>
      <c r="F375" s="96"/>
      <c r="G375" s="96"/>
      <c r="H375" s="96"/>
      <c r="I375" s="96"/>
      <c r="J375" s="113"/>
    </row>
    <row r="376" spans="1:10" ht="24" thickBot="1" x14ac:dyDescent="0.25">
      <c r="A376" s="429" t="s">
        <v>165</v>
      </c>
      <c r="B376" s="430"/>
      <c r="C376" s="98" t="e">
        <f>C364</f>
        <v>#VALUE!</v>
      </c>
      <c r="D376" s="92" t="s">
        <v>166</v>
      </c>
      <c r="E376" s="431"/>
      <c r="F376" s="431"/>
      <c r="G376" s="431"/>
      <c r="H376" s="431"/>
      <c r="I376" s="431"/>
      <c r="J376" s="432"/>
    </row>
    <row r="377" spans="1:10" x14ac:dyDescent="0.2">
      <c r="A377" s="103"/>
      <c r="B377" s="100" t="s">
        <v>60</v>
      </c>
      <c r="C377" s="94" t="s">
        <v>96</v>
      </c>
      <c r="D377" s="94" t="s">
        <v>97</v>
      </c>
      <c r="E377" s="93" t="s">
        <v>162</v>
      </c>
      <c r="F377" s="93" t="s">
        <v>163</v>
      </c>
      <c r="G377" s="93" t="s">
        <v>164</v>
      </c>
      <c r="H377" s="93" t="s">
        <v>221</v>
      </c>
      <c r="I377" s="93" t="s">
        <v>220</v>
      </c>
      <c r="J377" s="226" t="s">
        <v>161</v>
      </c>
    </row>
    <row r="378" spans="1:10" ht="23.25" x14ac:dyDescent="0.2">
      <c r="A378" s="268" t="str">
        <f>'1-zapasy'!A131</f>
        <v>Q-1</v>
      </c>
      <c r="B378" s="101"/>
      <c r="C378" s="99" t="e">
        <f>LEFT('1-zapasy'!B131,SEARCH("(",'1-zapasy'!B131)-1)</f>
        <v>#VALUE!</v>
      </c>
      <c r="D378" s="99" t="e">
        <f>LEFT('1-zapasy'!C131,SEARCH("(",'1-zapasy'!C131)-1)</f>
        <v>#VALUE!</v>
      </c>
      <c r="E378" s="225"/>
      <c r="F378" s="96"/>
      <c r="G378" s="96"/>
      <c r="H378" s="96"/>
      <c r="I378" s="96"/>
      <c r="J378" s="113"/>
    </row>
    <row r="379" spans="1:10" ht="24" thickBot="1" x14ac:dyDescent="0.25">
      <c r="A379" s="429" t="s">
        <v>165</v>
      </c>
      <c r="B379" s="430"/>
      <c r="C379" s="98" t="e">
        <f>C382</f>
        <v>#VALUE!</v>
      </c>
      <c r="D379" s="92" t="s">
        <v>166</v>
      </c>
      <c r="E379" s="431"/>
      <c r="F379" s="431"/>
      <c r="G379" s="431"/>
      <c r="H379" s="431"/>
      <c r="I379" s="431"/>
      <c r="J379" s="432"/>
    </row>
    <row r="380" spans="1:10" ht="13.5" thickBot="1" x14ac:dyDescent="0.25"/>
    <row r="381" spans="1:10" x14ac:dyDescent="0.2">
      <c r="A381" s="103"/>
      <c r="B381" s="100" t="s">
        <v>60</v>
      </c>
      <c r="C381" s="94" t="s">
        <v>96</v>
      </c>
      <c r="D381" s="94" t="s">
        <v>97</v>
      </c>
      <c r="E381" s="93" t="s">
        <v>162</v>
      </c>
      <c r="F381" s="93" t="s">
        <v>163</v>
      </c>
      <c r="G381" s="93" t="s">
        <v>164</v>
      </c>
      <c r="H381" s="93" t="s">
        <v>221</v>
      </c>
      <c r="I381" s="93" t="s">
        <v>220</v>
      </c>
      <c r="J381" s="226" t="s">
        <v>161</v>
      </c>
    </row>
    <row r="382" spans="1:10" ht="23.25" x14ac:dyDescent="0.2">
      <c r="A382" s="268" t="str">
        <f>'1-zapasy'!A132</f>
        <v>Q-2</v>
      </c>
      <c r="B382" s="101"/>
      <c r="C382" s="99" t="e">
        <f>LEFT('1-zapasy'!B132,SEARCH("(",'1-zapasy'!B132)-1)</f>
        <v>#VALUE!</v>
      </c>
      <c r="D382" s="99" t="e">
        <f>LEFT('1-zapasy'!C132,SEARCH("(",'1-zapasy'!C132)-1)</f>
        <v>#VALUE!</v>
      </c>
      <c r="E382" s="96"/>
      <c r="F382" s="96"/>
      <c r="G382" s="96"/>
      <c r="H382" s="96"/>
      <c r="I382" s="96"/>
      <c r="J382" s="113"/>
    </row>
    <row r="383" spans="1:10" ht="24" thickBot="1" x14ac:dyDescent="0.25">
      <c r="A383" s="429" t="s">
        <v>165</v>
      </c>
      <c r="B383" s="430"/>
      <c r="C383" s="98" t="e">
        <f>C378</f>
        <v>#VALUE!</v>
      </c>
      <c r="D383" s="92" t="s">
        <v>166</v>
      </c>
      <c r="E383" s="431"/>
      <c r="F383" s="431"/>
      <c r="G383" s="431"/>
      <c r="H383" s="431"/>
      <c r="I383" s="431"/>
      <c r="J383" s="432"/>
    </row>
    <row r="384" spans="1:10" ht="13.5" thickBot="1" x14ac:dyDescent="0.25">
      <c r="A384" s="105"/>
    </row>
    <row r="385" spans="1:10" x14ac:dyDescent="0.2">
      <c r="A385" s="103"/>
      <c r="B385" s="100" t="s">
        <v>60</v>
      </c>
      <c r="C385" s="94" t="s">
        <v>96</v>
      </c>
      <c r="D385" s="94" t="s">
        <v>97</v>
      </c>
      <c r="E385" s="93" t="s">
        <v>162</v>
      </c>
      <c r="F385" s="93" t="s">
        <v>163</v>
      </c>
      <c r="G385" s="93" t="s">
        <v>164</v>
      </c>
      <c r="H385" s="93" t="s">
        <v>221</v>
      </c>
      <c r="I385" s="93" t="s">
        <v>220</v>
      </c>
      <c r="J385" s="226" t="s">
        <v>161</v>
      </c>
    </row>
    <row r="386" spans="1:10" ht="23.25" x14ac:dyDescent="0.2">
      <c r="A386" s="268" t="str">
        <f>'1-zapasy'!A133</f>
        <v>Q-3</v>
      </c>
      <c r="B386" s="101"/>
      <c r="C386" s="99" t="e">
        <f>LEFT('1-zapasy'!B133,SEARCH("(",'1-zapasy'!B133)-1)</f>
        <v>#VALUE!</v>
      </c>
      <c r="D386" s="99" t="e">
        <f>LEFT('1-zapasy'!C133,SEARCH("(",'1-zapasy'!C133)-1)</f>
        <v>#VALUE!</v>
      </c>
      <c r="E386" s="96"/>
      <c r="F386" s="96"/>
      <c r="G386" s="96"/>
      <c r="H386" s="96"/>
      <c r="I386" s="96"/>
      <c r="J386" s="113"/>
    </row>
    <row r="387" spans="1:10" ht="24" thickBot="1" x14ac:dyDescent="0.25">
      <c r="A387" s="429" t="s">
        <v>165</v>
      </c>
      <c r="B387" s="430"/>
      <c r="C387" s="98" t="e">
        <f>C390</f>
        <v>#VALUE!</v>
      </c>
      <c r="D387" s="92" t="s">
        <v>166</v>
      </c>
      <c r="E387" s="431"/>
      <c r="F387" s="431"/>
      <c r="G387" s="431"/>
      <c r="H387" s="431"/>
      <c r="I387" s="431"/>
      <c r="J387" s="432"/>
    </row>
    <row r="388" spans="1:10" ht="13.5" thickBot="1" x14ac:dyDescent="0.25"/>
    <row r="389" spans="1:10" x14ac:dyDescent="0.2">
      <c r="A389" s="103"/>
      <c r="B389" s="100" t="s">
        <v>60</v>
      </c>
      <c r="C389" s="94" t="s">
        <v>96</v>
      </c>
      <c r="D389" s="94" t="s">
        <v>97</v>
      </c>
      <c r="E389" s="93" t="s">
        <v>162</v>
      </c>
      <c r="F389" s="93" t="s">
        <v>163</v>
      </c>
      <c r="G389" s="93" t="s">
        <v>164</v>
      </c>
      <c r="H389" s="93" t="s">
        <v>221</v>
      </c>
      <c r="I389" s="93" t="s">
        <v>220</v>
      </c>
      <c r="J389" s="226" t="s">
        <v>161</v>
      </c>
    </row>
    <row r="390" spans="1:10" ht="23.25" x14ac:dyDescent="0.2">
      <c r="A390" s="268" t="str">
        <f>'1-zapasy'!A134</f>
        <v>Q-4</v>
      </c>
      <c r="B390" s="101"/>
      <c r="C390" s="99" t="e">
        <f>LEFT('1-zapasy'!B134,SEARCH("(",'1-zapasy'!B134)-1)</f>
        <v>#VALUE!</v>
      </c>
      <c r="D390" s="99" t="e">
        <f>LEFT('1-zapasy'!C134,SEARCH("(",'1-zapasy'!C134)-1)</f>
        <v>#VALUE!</v>
      </c>
      <c r="E390" s="96"/>
      <c r="F390" s="96"/>
      <c r="G390" s="96"/>
      <c r="H390" s="96"/>
      <c r="I390" s="96"/>
      <c r="J390" s="113"/>
    </row>
    <row r="391" spans="1:10" ht="24" thickBot="1" x14ac:dyDescent="0.25">
      <c r="A391" s="429" t="s">
        <v>165</v>
      </c>
      <c r="B391" s="430"/>
      <c r="C391" s="98" t="e">
        <f>C386</f>
        <v>#VALUE!</v>
      </c>
      <c r="D391" s="92" t="s">
        <v>166</v>
      </c>
      <c r="E391" s="431"/>
      <c r="F391" s="431"/>
      <c r="G391" s="431"/>
      <c r="H391" s="431"/>
      <c r="I391" s="431"/>
      <c r="J391" s="432"/>
    </row>
    <row r="392" spans="1:10" ht="13.5" thickBot="1" x14ac:dyDescent="0.25">
      <c r="A392" s="105"/>
    </row>
    <row r="393" spans="1:10" x14ac:dyDescent="0.2">
      <c r="A393" s="103"/>
      <c r="B393" s="100" t="s">
        <v>60</v>
      </c>
      <c r="C393" s="94" t="s">
        <v>96</v>
      </c>
      <c r="D393" s="94" t="s">
        <v>97</v>
      </c>
      <c r="E393" s="93" t="s">
        <v>162</v>
      </c>
      <c r="F393" s="93" t="s">
        <v>163</v>
      </c>
      <c r="G393" s="93" t="s">
        <v>164</v>
      </c>
      <c r="H393" s="93" t="s">
        <v>221</v>
      </c>
      <c r="I393" s="93" t="s">
        <v>220</v>
      </c>
      <c r="J393" s="226" t="s">
        <v>161</v>
      </c>
    </row>
    <row r="394" spans="1:10" ht="23.25" x14ac:dyDescent="0.2">
      <c r="A394" s="268" t="str">
        <f>'1-zapasy'!A135</f>
        <v>Q-5</v>
      </c>
      <c r="B394" s="101"/>
      <c r="C394" s="99" t="e">
        <f>LEFT('1-zapasy'!B135,SEARCH("(",'1-zapasy'!B135)-1)</f>
        <v>#VALUE!</v>
      </c>
      <c r="D394" s="99" t="e">
        <f>LEFT('1-zapasy'!C135,SEARCH("(",'1-zapasy'!C135)-1)</f>
        <v>#VALUE!</v>
      </c>
      <c r="E394" s="96"/>
      <c r="F394" s="96"/>
      <c r="G394" s="96"/>
      <c r="H394" s="96"/>
      <c r="I394" s="96"/>
      <c r="J394" s="113"/>
    </row>
    <row r="395" spans="1:10" ht="24" thickBot="1" x14ac:dyDescent="0.25">
      <c r="A395" s="429" t="s">
        <v>165</v>
      </c>
      <c r="B395" s="430"/>
      <c r="C395" s="98" t="e">
        <f>C379</f>
        <v>#VALUE!</v>
      </c>
      <c r="D395" s="92" t="s">
        <v>166</v>
      </c>
      <c r="E395" s="431"/>
      <c r="F395" s="431"/>
      <c r="G395" s="431"/>
      <c r="H395" s="431"/>
      <c r="I395" s="431"/>
      <c r="J395" s="432"/>
    </row>
    <row r="396" spans="1:10" ht="13.5" thickBot="1" x14ac:dyDescent="0.25"/>
    <row r="397" spans="1:10" x14ac:dyDescent="0.2">
      <c r="A397" s="103"/>
      <c r="B397" s="100" t="s">
        <v>60</v>
      </c>
      <c r="C397" s="94" t="s">
        <v>96</v>
      </c>
      <c r="D397" s="94" t="s">
        <v>97</v>
      </c>
      <c r="E397" s="93" t="s">
        <v>162</v>
      </c>
      <c r="F397" s="93" t="s">
        <v>163</v>
      </c>
      <c r="G397" s="93" t="s">
        <v>164</v>
      </c>
      <c r="H397" s="93" t="s">
        <v>221</v>
      </c>
      <c r="I397" s="93" t="s">
        <v>220</v>
      </c>
      <c r="J397" s="226" t="s">
        <v>161</v>
      </c>
    </row>
    <row r="398" spans="1:10" ht="23.25" x14ac:dyDescent="0.2">
      <c r="A398" s="268" t="str">
        <f>'1-zapasy'!A136</f>
        <v>Q-6</v>
      </c>
      <c r="B398" s="101"/>
      <c r="C398" s="99" t="e">
        <f>LEFT('1-zapasy'!B136,SEARCH("(",'1-zapasy'!B136)-1)</f>
        <v>#VALUE!</v>
      </c>
      <c r="D398" s="99" t="e">
        <f>LEFT('1-zapasy'!C136,SEARCH("(",'1-zapasy'!C136)-1)</f>
        <v>#VALUE!</v>
      </c>
      <c r="E398" s="96"/>
      <c r="F398" s="96"/>
      <c r="G398" s="96"/>
      <c r="H398" s="96"/>
      <c r="I398" s="96"/>
      <c r="J398" s="113"/>
    </row>
    <row r="399" spans="1:10" ht="24" thickBot="1" x14ac:dyDescent="0.25">
      <c r="A399" s="429" t="s">
        <v>165</v>
      </c>
      <c r="B399" s="430"/>
      <c r="C399" s="98" t="e">
        <f>C387</f>
        <v>#VALUE!</v>
      </c>
      <c r="D399" s="92" t="s">
        <v>166</v>
      </c>
      <c r="E399" s="431"/>
      <c r="F399" s="431"/>
      <c r="G399" s="431"/>
      <c r="H399" s="431"/>
      <c r="I399" s="431"/>
      <c r="J399" s="432"/>
    </row>
    <row r="400" spans="1:10" ht="13.5" thickBot="1" x14ac:dyDescent="0.25">
      <c r="A400" s="105"/>
    </row>
    <row r="401" spans="1:10" x14ac:dyDescent="0.2">
      <c r="A401" s="103"/>
      <c r="B401" s="100" t="s">
        <v>60</v>
      </c>
      <c r="C401" s="94" t="s">
        <v>96</v>
      </c>
      <c r="D401" s="94" t="s">
        <v>97</v>
      </c>
      <c r="E401" s="93" t="s">
        <v>162</v>
      </c>
      <c r="F401" s="93" t="s">
        <v>163</v>
      </c>
      <c r="G401" s="93" t="s">
        <v>164</v>
      </c>
      <c r="H401" s="93" t="s">
        <v>221</v>
      </c>
      <c r="I401" s="93" t="s">
        <v>220</v>
      </c>
      <c r="J401" s="226" t="s">
        <v>161</v>
      </c>
    </row>
    <row r="402" spans="1:10" ht="23.25" x14ac:dyDescent="0.2">
      <c r="A402" s="268" t="str">
        <f>'1-zapasy'!A139</f>
        <v>R-1</v>
      </c>
      <c r="B402" s="101"/>
      <c r="C402" s="99" t="e">
        <f>LEFT('1-zapasy'!B139,SEARCH("(",'1-zapasy'!B139)-1)</f>
        <v>#VALUE!</v>
      </c>
      <c r="D402" s="99" t="e">
        <f>LEFT('1-zapasy'!C139,SEARCH("(",'1-zapasy'!C139)-1)</f>
        <v>#VALUE!</v>
      </c>
      <c r="E402" s="225"/>
      <c r="F402" s="96"/>
      <c r="G402" s="96"/>
      <c r="H402" s="96"/>
      <c r="I402" s="96"/>
      <c r="J402" s="113"/>
    </row>
    <row r="403" spans="1:10" ht="24" thickBot="1" x14ac:dyDescent="0.25">
      <c r="A403" s="429" t="s">
        <v>165</v>
      </c>
      <c r="B403" s="430"/>
      <c r="C403" s="98" t="e">
        <f>C406</f>
        <v>#VALUE!</v>
      </c>
      <c r="D403" s="92" t="s">
        <v>166</v>
      </c>
      <c r="E403" s="431"/>
      <c r="F403" s="431"/>
      <c r="G403" s="431"/>
      <c r="H403" s="431"/>
      <c r="I403" s="431"/>
      <c r="J403" s="432"/>
    </row>
    <row r="404" spans="1:10" ht="13.5" thickBot="1" x14ac:dyDescent="0.25"/>
    <row r="405" spans="1:10" x14ac:dyDescent="0.2">
      <c r="A405" s="103"/>
      <c r="B405" s="100" t="s">
        <v>60</v>
      </c>
      <c r="C405" s="94" t="s">
        <v>96</v>
      </c>
      <c r="D405" s="94" t="s">
        <v>97</v>
      </c>
      <c r="E405" s="93" t="s">
        <v>162</v>
      </c>
      <c r="F405" s="93" t="s">
        <v>163</v>
      </c>
      <c r="G405" s="93" t="s">
        <v>164</v>
      </c>
      <c r="H405" s="93" t="s">
        <v>221</v>
      </c>
      <c r="I405" s="93" t="s">
        <v>220</v>
      </c>
      <c r="J405" s="226" t="s">
        <v>161</v>
      </c>
    </row>
    <row r="406" spans="1:10" ht="23.25" x14ac:dyDescent="0.2">
      <c r="A406" s="268" t="str">
        <f>'1-zapasy'!A140</f>
        <v>R-2</v>
      </c>
      <c r="B406" s="101"/>
      <c r="C406" s="99" t="e">
        <f>LEFT('1-zapasy'!B140,SEARCH("(",'1-zapasy'!B140)-1)</f>
        <v>#VALUE!</v>
      </c>
      <c r="D406" s="99" t="e">
        <f>LEFT('1-zapasy'!C140,SEARCH("(",'1-zapasy'!C140)-1)</f>
        <v>#VALUE!</v>
      </c>
      <c r="E406" s="96"/>
      <c r="F406" s="96"/>
      <c r="G406" s="96"/>
      <c r="H406" s="96"/>
      <c r="I406" s="96"/>
      <c r="J406" s="113"/>
    </row>
    <row r="407" spans="1:10" ht="24" thickBot="1" x14ac:dyDescent="0.25">
      <c r="A407" s="429" t="s">
        <v>165</v>
      </c>
      <c r="B407" s="430"/>
      <c r="C407" s="98" t="e">
        <f>C402</f>
        <v>#VALUE!</v>
      </c>
      <c r="D407" s="92" t="s">
        <v>166</v>
      </c>
      <c r="E407" s="431"/>
      <c r="F407" s="431"/>
      <c r="G407" s="431"/>
      <c r="H407" s="431"/>
      <c r="I407" s="431"/>
      <c r="J407" s="432"/>
    </row>
    <row r="408" spans="1:10" ht="13.5" thickBot="1" x14ac:dyDescent="0.25">
      <c r="A408" s="105"/>
    </row>
    <row r="409" spans="1:10" x14ac:dyDescent="0.2">
      <c r="A409" s="103"/>
      <c r="B409" s="100" t="s">
        <v>60</v>
      </c>
      <c r="C409" s="94" t="s">
        <v>96</v>
      </c>
      <c r="D409" s="94" t="s">
        <v>97</v>
      </c>
      <c r="E409" s="93" t="s">
        <v>162</v>
      </c>
      <c r="F409" s="93" t="s">
        <v>163</v>
      </c>
      <c r="G409" s="93" t="s">
        <v>164</v>
      </c>
      <c r="H409" s="93" t="s">
        <v>221</v>
      </c>
      <c r="I409" s="93" t="s">
        <v>220</v>
      </c>
      <c r="J409" s="226" t="s">
        <v>161</v>
      </c>
    </row>
    <row r="410" spans="1:10" ht="23.25" x14ac:dyDescent="0.2">
      <c r="A410" s="268" t="str">
        <f>'1-zapasy'!A141</f>
        <v>R-3</v>
      </c>
      <c r="B410" s="101"/>
      <c r="C410" s="99" t="e">
        <f>LEFT('1-zapasy'!B141,SEARCH("(",'1-zapasy'!B141)-1)</f>
        <v>#VALUE!</v>
      </c>
      <c r="D410" s="99" t="e">
        <f>LEFT('1-zapasy'!C141,SEARCH("(",'1-zapasy'!C141)-1)</f>
        <v>#VALUE!</v>
      </c>
      <c r="E410" s="96"/>
      <c r="F410" s="96"/>
      <c r="G410" s="96"/>
      <c r="H410" s="96"/>
      <c r="I410" s="96"/>
      <c r="J410" s="113"/>
    </row>
    <row r="411" spans="1:10" ht="24" thickBot="1" x14ac:dyDescent="0.25">
      <c r="A411" s="429" t="s">
        <v>165</v>
      </c>
      <c r="B411" s="430"/>
      <c r="C411" s="98" t="e">
        <f>C398</f>
        <v>#VALUE!</v>
      </c>
      <c r="D411" s="92" t="s">
        <v>166</v>
      </c>
      <c r="E411" s="431"/>
      <c r="F411" s="431"/>
      <c r="G411" s="431"/>
      <c r="H411" s="431"/>
      <c r="I411" s="431"/>
      <c r="J411" s="432"/>
    </row>
    <row r="412" spans="1:10" ht="13.5" thickBot="1" x14ac:dyDescent="0.25">
      <c r="A412" s="105"/>
    </row>
    <row r="413" spans="1:10" x14ac:dyDescent="0.2">
      <c r="A413" s="103"/>
      <c r="B413" s="100" t="s">
        <v>60</v>
      </c>
      <c r="C413" s="94" t="s">
        <v>96</v>
      </c>
      <c r="D413" s="94" t="s">
        <v>97</v>
      </c>
      <c r="E413" s="93" t="s">
        <v>162</v>
      </c>
      <c r="F413" s="93" t="s">
        <v>163</v>
      </c>
      <c r="G413" s="93" t="s">
        <v>164</v>
      </c>
      <c r="H413" s="93" t="s">
        <v>221</v>
      </c>
      <c r="I413" s="93" t="s">
        <v>220</v>
      </c>
      <c r="J413" s="226" t="s">
        <v>161</v>
      </c>
    </row>
    <row r="414" spans="1:10" ht="23.25" x14ac:dyDescent="0.2">
      <c r="A414" s="268" t="str">
        <f>'1-zapasy'!A142</f>
        <v>R-4</v>
      </c>
      <c r="B414" s="101"/>
      <c r="C414" s="99" t="e">
        <f>LEFT('1-zapasy'!B142,SEARCH("(",'1-zapasy'!B142)-1)</f>
        <v>#VALUE!</v>
      </c>
      <c r="D414" s="99" t="e">
        <f>LEFT('1-zapasy'!C142,SEARCH("(",'1-zapasy'!C142)-1)</f>
        <v>#VALUE!</v>
      </c>
      <c r="E414" s="96"/>
      <c r="F414" s="96"/>
      <c r="G414" s="96"/>
      <c r="H414" s="96"/>
      <c r="I414" s="96"/>
      <c r="J414" s="113"/>
    </row>
    <row r="415" spans="1:10" ht="24" thickBot="1" x14ac:dyDescent="0.25">
      <c r="A415" s="429" t="s">
        <v>165</v>
      </c>
      <c r="B415" s="430"/>
      <c r="C415" s="98" t="e">
        <f>C410</f>
        <v>#VALUE!</v>
      </c>
      <c r="D415" s="92" t="s">
        <v>166</v>
      </c>
      <c r="E415" s="431"/>
      <c r="F415" s="431"/>
      <c r="G415" s="431"/>
      <c r="H415" s="431"/>
      <c r="I415" s="431"/>
      <c r="J415" s="432"/>
    </row>
    <row r="416" spans="1:10" ht="13.5" thickBot="1" x14ac:dyDescent="0.25">
      <c r="A416" s="105"/>
    </row>
    <row r="417" spans="1:10" x14ac:dyDescent="0.2">
      <c r="A417" s="103"/>
      <c r="B417" s="100" t="s">
        <v>60</v>
      </c>
      <c r="C417" s="94" t="s">
        <v>96</v>
      </c>
      <c r="D417" s="94" t="s">
        <v>97</v>
      </c>
      <c r="E417" s="93" t="s">
        <v>162</v>
      </c>
      <c r="F417" s="93" t="s">
        <v>163</v>
      </c>
      <c r="G417" s="93" t="s">
        <v>164</v>
      </c>
      <c r="H417" s="93" t="s">
        <v>221</v>
      </c>
      <c r="I417" s="93" t="s">
        <v>220</v>
      </c>
      <c r="J417" s="226" t="s">
        <v>161</v>
      </c>
    </row>
    <row r="418" spans="1:10" ht="23.25" x14ac:dyDescent="0.2">
      <c r="A418" s="268" t="str">
        <f>'1-zapasy'!A143</f>
        <v>R-5</v>
      </c>
      <c r="B418" s="101"/>
      <c r="C418" s="99" t="e">
        <f>LEFT('1-zapasy'!B143,SEARCH("(",'1-zapasy'!B143)-1)</f>
        <v>#VALUE!</v>
      </c>
      <c r="D418" s="99" t="e">
        <f>LEFT('1-zapasy'!C143,SEARCH("(",'1-zapasy'!C143)-1)</f>
        <v>#VALUE!</v>
      </c>
      <c r="E418" s="96"/>
      <c r="F418" s="96"/>
      <c r="G418" s="96"/>
      <c r="H418" s="96"/>
      <c r="I418" s="96"/>
      <c r="J418" s="113"/>
    </row>
    <row r="419" spans="1:10" ht="24" thickBot="1" x14ac:dyDescent="0.25">
      <c r="A419" s="429" t="s">
        <v>165</v>
      </c>
      <c r="B419" s="430"/>
      <c r="C419" s="98" t="e">
        <f>C403</f>
        <v>#VALUE!</v>
      </c>
      <c r="D419" s="92" t="s">
        <v>166</v>
      </c>
      <c r="E419" s="431"/>
      <c r="F419" s="431"/>
      <c r="G419" s="431"/>
      <c r="H419" s="431"/>
      <c r="I419" s="431"/>
      <c r="J419" s="432"/>
    </row>
    <row r="420" spans="1:10" ht="13.5" thickBot="1" x14ac:dyDescent="0.25"/>
    <row r="421" spans="1:10" x14ac:dyDescent="0.2">
      <c r="A421" s="103"/>
      <c r="B421" s="100" t="s">
        <v>60</v>
      </c>
      <c r="C421" s="94" t="s">
        <v>96</v>
      </c>
      <c r="D421" s="94" t="s">
        <v>97</v>
      </c>
      <c r="E421" s="93" t="s">
        <v>162</v>
      </c>
      <c r="F421" s="93" t="s">
        <v>163</v>
      </c>
      <c r="G421" s="93" t="s">
        <v>164</v>
      </c>
      <c r="H421" s="93" t="s">
        <v>221</v>
      </c>
      <c r="I421" s="93" t="s">
        <v>220</v>
      </c>
      <c r="J421" s="226" t="s">
        <v>161</v>
      </c>
    </row>
    <row r="422" spans="1:10" ht="23.25" x14ac:dyDescent="0.2">
      <c r="A422" s="268" t="str">
        <f>'1-zapasy'!A144</f>
        <v>R-6</v>
      </c>
      <c r="B422" s="101"/>
      <c r="C422" s="99" t="e">
        <f>LEFT('1-zapasy'!B144,SEARCH("(",'1-zapasy'!B144)-1)</f>
        <v>#VALUE!</v>
      </c>
      <c r="D422" s="99" t="e">
        <f>LEFT('1-zapasy'!C144,SEARCH("(",'1-zapasy'!C144)-1)</f>
        <v>#VALUE!</v>
      </c>
      <c r="E422" s="96"/>
      <c r="F422" s="96"/>
      <c r="G422" s="96"/>
      <c r="H422" s="96"/>
      <c r="I422" s="96"/>
      <c r="J422" s="113"/>
    </row>
    <row r="423" spans="1:10" ht="24" thickBot="1" x14ac:dyDescent="0.25">
      <c r="A423" s="429" t="s">
        <v>165</v>
      </c>
      <c r="B423" s="430"/>
      <c r="C423" s="98" t="e">
        <f>C411</f>
        <v>#VALUE!</v>
      </c>
      <c r="D423" s="92" t="s">
        <v>166</v>
      </c>
      <c r="E423" s="431"/>
      <c r="F423" s="431"/>
      <c r="G423" s="431"/>
      <c r="H423" s="431"/>
      <c r="I423" s="431"/>
      <c r="J423" s="432"/>
    </row>
    <row r="424" spans="1:10" x14ac:dyDescent="0.2">
      <c r="A424" s="103"/>
      <c r="B424" s="100" t="s">
        <v>60</v>
      </c>
      <c r="C424" s="94" t="s">
        <v>96</v>
      </c>
      <c r="D424" s="94" t="s">
        <v>97</v>
      </c>
      <c r="E424" s="93" t="s">
        <v>162</v>
      </c>
      <c r="F424" s="93" t="s">
        <v>163</v>
      </c>
      <c r="G424" s="93" t="s">
        <v>164</v>
      </c>
      <c r="H424" s="93" t="s">
        <v>221</v>
      </c>
      <c r="I424" s="93" t="s">
        <v>220</v>
      </c>
      <c r="J424" s="226" t="s">
        <v>161</v>
      </c>
    </row>
    <row r="425" spans="1:10" ht="23.25" x14ac:dyDescent="0.2">
      <c r="A425" s="268" t="str">
        <f>'1-zapasy'!A147</f>
        <v>S-1</v>
      </c>
      <c r="B425" s="101"/>
      <c r="C425" s="99" t="e">
        <f>LEFT('1-zapasy'!B147,SEARCH("(",'1-zapasy'!B147)-1)</f>
        <v>#VALUE!</v>
      </c>
      <c r="D425" s="99" t="e">
        <f>LEFT('1-zapasy'!C147,SEARCH("(",'1-zapasy'!C147)-1)</f>
        <v>#VALUE!</v>
      </c>
      <c r="E425" s="225"/>
      <c r="F425" s="96"/>
      <c r="G425" s="96"/>
      <c r="H425" s="96"/>
      <c r="I425" s="96"/>
      <c r="J425" s="113"/>
    </row>
    <row r="426" spans="1:10" ht="24" thickBot="1" x14ac:dyDescent="0.25">
      <c r="A426" s="429" t="s">
        <v>165</v>
      </c>
      <c r="B426" s="430"/>
      <c r="C426" s="98" t="e">
        <f>C429</f>
        <v>#VALUE!</v>
      </c>
      <c r="D426" s="92" t="s">
        <v>166</v>
      </c>
      <c r="E426" s="431"/>
      <c r="F426" s="431"/>
      <c r="G426" s="431"/>
      <c r="H426" s="431"/>
      <c r="I426" s="431"/>
      <c r="J426" s="432"/>
    </row>
    <row r="427" spans="1:10" ht="13.5" thickBot="1" x14ac:dyDescent="0.25"/>
    <row r="428" spans="1:10" x14ac:dyDescent="0.2">
      <c r="A428" s="103"/>
      <c r="B428" s="100" t="s">
        <v>60</v>
      </c>
      <c r="C428" s="94" t="s">
        <v>96</v>
      </c>
      <c r="D428" s="94" t="s">
        <v>97</v>
      </c>
      <c r="E428" s="93" t="s">
        <v>162</v>
      </c>
      <c r="F428" s="93" t="s">
        <v>163</v>
      </c>
      <c r="G428" s="93" t="s">
        <v>164</v>
      </c>
      <c r="H428" s="93" t="s">
        <v>221</v>
      </c>
      <c r="I428" s="93" t="s">
        <v>220</v>
      </c>
      <c r="J428" s="226" t="s">
        <v>161</v>
      </c>
    </row>
    <row r="429" spans="1:10" ht="23.25" x14ac:dyDescent="0.2">
      <c r="A429" s="268" t="str">
        <f>'1-zapasy'!A148</f>
        <v>S-2</v>
      </c>
      <c r="B429" s="101"/>
      <c r="C429" s="99" t="e">
        <f>LEFT('1-zapasy'!B148,SEARCH("(",'1-zapasy'!B148)-1)</f>
        <v>#VALUE!</v>
      </c>
      <c r="D429" s="99" t="e">
        <f>LEFT('1-zapasy'!C148,SEARCH("(",'1-zapasy'!C148)-1)</f>
        <v>#VALUE!</v>
      </c>
      <c r="E429" s="96"/>
      <c r="F429" s="96"/>
      <c r="G429" s="96"/>
      <c r="H429" s="96"/>
      <c r="I429" s="96"/>
      <c r="J429" s="113"/>
    </row>
    <row r="430" spans="1:10" ht="24" thickBot="1" x14ac:dyDescent="0.25">
      <c r="A430" s="429" t="s">
        <v>165</v>
      </c>
      <c r="B430" s="430"/>
      <c r="C430" s="98" t="e">
        <f>C425</f>
        <v>#VALUE!</v>
      </c>
      <c r="D430" s="92" t="s">
        <v>166</v>
      </c>
      <c r="E430" s="431"/>
      <c r="F430" s="431"/>
      <c r="G430" s="431"/>
      <c r="H430" s="431"/>
      <c r="I430" s="431"/>
      <c r="J430" s="432"/>
    </row>
    <row r="431" spans="1:10" ht="13.5" thickBot="1" x14ac:dyDescent="0.25">
      <c r="A431" s="105"/>
    </row>
    <row r="432" spans="1:10" x14ac:dyDescent="0.2">
      <c r="A432" s="103"/>
      <c r="B432" s="100" t="s">
        <v>60</v>
      </c>
      <c r="C432" s="94" t="s">
        <v>96</v>
      </c>
      <c r="D432" s="94" t="s">
        <v>97</v>
      </c>
      <c r="E432" s="93" t="s">
        <v>162</v>
      </c>
      <c r="F432" s="93" t="s">
        <v>163</v>
      </c>
      <c r="G432" s="93" t="s">
        <v>164</v>
      </c>
      <c r="H432" s="93" t="s">
        <v>221</v>
      </c>
      <c r="I432" s="93" t="s">
        <v>220</v>
      </c>
      <c r="J432" s="226" t="s">
        <v>161</v>
      </c>
    </row>
    <row r="433" spans="1:10" ht="23.25" x14ac:dyDescent="0.2">
      <c r="A433" s="268" t="str">
        <f>'1-zapasy'!A149</f>
        <v>S-3</v>
      </c>
      <c r="B433" s="101"/>
      <c r="C433" s="99" t="e">
        <f>LEFT('1-zapasy'!B149,SEARCH("(",'1-zapasy'!B149)-1)</f>
        <v>#VALUE!</v>
      </c>
      <c r="D433" s="99" t="e">
        <f>LEFT('1-zapasy'!C149,SEARCH("(",'1-zapasy'!C149)-1)</f>
        <v>#VALUE!</v>
      </c>
      <c r="E433" s="96"/>
      <c r="F433" s="96"/>
      <c r="G433" s="96"/>
      <c r="H433" s="96"/>
      <c r="I433" s="96"/>
      <c r="J433" s="113"/>
    </row>
    <row r="434" spans="1:10" ht="24" thickBot="1" x14ac:dyDescent="0.25">
      <c r="A434" s="429" t="s">
        <v>165</v>
      </c>
      <c r="B434" s="430"/>
      <c r="C434" s="98" t="e">
        <f>C437</f>
        <v>#VALUE!</v>
      </c>
      <c r="D434" s="92" t="s">
        <v>166</v>
      </c>
      <c r="E434" s="431"/>
      <c r="F434" s="431"/>
      <c r="G434" s="431"/>
      <c r="H434" s="431"/>
      <c r="I434" s="431"/>
      <c r="J434" s="432"/>
    </row>
    <row r="435" spans="1:10" ht="13.5" thickBot="1" x14ac:dyDescent="0.25"/>
    <row r="436" spans="1:10" x14ac:dyDescent="0.2">
      <c r="A436" s="103"/>
      <c r="B436" s="100" t="s">
        <v>60</v>
      </c>
      <c r="C436" s="94" t="s">
        <v>96</v>
      </c>
      <c r="D436" s="94" t="s">
        <v>97</v>
      </c>
      <c r="E436" s="93" t="s">
        <v>162</v>
      </c>
      <c r="F436" s="93" t="s">
        <v>163</v>
      </c>
      <c r="G436" s="93" t="s">
        <v>164</v>
      </c>
      <c r="H436" s="93" t="s">
        <v>221</v>
      </c>
      <c r="I436" s="93" t="s">
        <v>220</v>
      </c>
      <c r="J436" s="226" t="s">
        <v>161</v>
      </c>
    </row>
    <row r="437" spans="1:10" ht="23.25" x14ac:dyDescent="0.2">
      <c r="A437" s="268" t="str">
        <f>'1-zapasy'!A150</f>
        <v>S-4</v>
      </c>
      <c r="B437" s="101"/>
      <c r="C437" s="99" t="e">
        <f>LEFT('1-zapasy'!B150,SEARCH("(",'1-zapasy'!B150)-1)</f>
        <v>#VALUE!</v>
      </c>
      <c r="D437" s="99" t="e">
        <f>LEFT('1-zapasy'!C150,SEARCH("(",'1-zapasy'!C150)-1)</f>
        <v>#VALUE!</v>
      </c>
      <c r="E437" s="96"/>
      <c r="F437" s="96"/>
      <c r="G437" s="96"/>
      <c r="H437" s="96"/>
      <c r="I437" s="96"/>
      <c r="J437" s="113"/>
    </row>
    <row r="438" spans="1:10" ht="24" thickBot="1" x14ac:dyDescent="0.25">
      <c r="A438" s="429" t="s">
        <v>165</v>
      </c>
      <c r="B438" s="430"/>
      <c r="C438" s="98" t="e">
        <f>C433</f>
        <v>#VALUE!</v>
      </c>
      <c r="D438" s="92" t="s">
        <v>166</v>
      </c>
      <c r="E438" s="431"/>
      <c r="F438" s="431"/>
      <c r="G438" s="431"/>
      <c r="H438" s="431"/>
      <c r="I438" s="431"/>
      <c r="J438" s="432"/>
    </row>
    <row r="439" spans="1:10" ht="13.5" thickBot="1" x14ac:dyDescent="0.25">
      <c r="A439" s="105"/>
    </row>
    <row r="440" spans="1:10" x14ac:dyDescent="0.2">
      <c r="A440" s="103"/>
      <c r="B440" s="100" t="s">
        <v>60</v>
      </c>
      <c r="C440" s="94" t="s">
        <v>96</v>
      </c>
      <c r="D440" s="94" t="s">
        <v>97</v>
      </c>
      <c r="E440" s="93" t="s">
        <v>162</v>
      </c>
      <c r="F440" s="93" t="s">
        <v>163</v>
      </c>
      <c r="G440" s="93" t="s">
        <v>164</v>
      </c>
      <c r="H440" s="93" t="s">
        <v>221</v>
      </c>
      <c r="I440" s="93" t="s">
        <v>220</v>
      </c>
      <c r="J440" s="226" t="s">
        <v>161</v>
      </c>
    </row>
    <row r="441" spans="1:10" ht="23.25" x14ac:dyDescent="0.2">
      <c r="A441" s="268" t="str">
        <f>'1-zapasy'!A151</f>
        <v>S-5</v>
      </c>
      <c r="B441" s="101"/>
      <c r="C441" s="99" t="e">
        <f>LEFT('1-zapasy'!B151,SEARCH("(",'1-zapasy'!B151)-1)</f>
        <v>#VALUE!</v>
      </c>
      <c r="D441" s="99" t="e">
        <f>LEFT('1-zapasy'!C151,SEARCH("(",'1-zapasy'!C151)-1)</f>
        <v>#VALUE!</v>
      </c>
      <c r="E441" s="96"/>
      <c r="F441" s="96"/>
      <c r="G441" s="96"/>
      <c r="H441" s="96"/>
      <c r="I441" s="96"/>
      <c r="J441" s="113"/>
    </row>
    <row r="442" spans="1:10" ht="24" thickBot="1" x14ac:dyDescent="0.25">
      <c r="A442" s="429" t="s">
        <v>165</v>
      </c>
      <c r="B442" s="430"/>
      <c r="C442" s="98" t="e">
        <f>C426</f>
        <v>#VALUE!</v>
      </c>
      <c r="D442" s="92" t="s">
        <v>166</v>
      </c>
      <c r="E442" s="431"/>
      <c r="F442" s="431"/>
      <c r="G442" s="431"/>
      <c r="H442" s="431"/>
      <c r="I442" s="431"/>
      <c r="J442" s="432"/>
    </row>
    <row r="443" spans="1:10" ht="13.5" thickBot="1" x14ac:dyDescent="0.25"/>
    <row r="444" spans="1:10" x14ac:dyDescent="0.2">
      <c r="A444" s="103"/>
      <c r="B444" s="100" t="s">
        <v>60</v>
      </c>
      <c r="C444" s="94" t="s">
        <v>96</v>
      </c>
      <c r="D444" s="94" t="s">
        <v>97</v>
      </c>
      <c r="E444" s="93" t="s">
        <v>162</v>
      </c>
      <c r="F444" s="93" t="s">
        <v>163</v>
      </c>
      <c r="G444" s="93" t="s">
        <v>164</v>
      </c>
      <c r="H444" s="93" t="s">
        <v>221</v>
      </c>
      <c r="I444" s="93" t="s">
        <v>220</v>
      </c>
      <c r="J444" s="226" t="s">
        <v>161</v>
      </c>
    </row>
    <row r="445" spans="1:10" ht="23.25" x14ac:dyDescent="0.2">
      <c r="A445" s="268" t="str">
        <f>'1-zapasy'!A152</f>
        <v>S-6</v>
      </c>
      <c r="B445" s="101"/>
      <c r="C445" s="99" t="e">
        <f>LEFT('1-zapasy'!B152,SEARCH("(",'1-zapasy'!B152)-1)</f>
        <v>#VALUE!</v>
      </c>
      <c r="D445" s="99" t="e">
        <f>LEFT('1-zapasy'!C152,SEARCH("(",'1-zapasy'!C152)-1)</f>
        <v>#VALUE!</v>
      </c>
      <c r="E445" s="96"/>
      <c r="F445" s="96"/>
      <c r="G445" s="96"/>
      <c r="H445" s="96"/>
      <c r="I445" s="96"/>
      <c r="J445" s="113"/>
    </row>
    <row r="446" spans="1:10" ht="24" thickBot="1" x14ac:dyDescent="0.25">
      <c r="A446" s="429" t="s">
        <v>165</v>
      </c>
      <c r="B446" s="430"/>
      <c r="C446" s="98" t="e">
        <f>C434</f>
        <v>#VALUE!</v>
      </c>
      <c r="D446" s="92" t="s">
        <v>166</v>
      </c>
      <c r="E446" s="431"/>
      <c r="F446" s="431"/>
      <c r="G446" s="431"/>
      <c r="H446" s="431"/>
      <c r="I446" s="431"/>
      <c r="J446" s="432"/>
    </row>
    <row r="447" spans="1:10" ht="13.5" thickBot="1" x14ac:dyDescent="0.25">
      <c r="A447" s="105"/>
    </row>
    <row r="448" spans="1:10" x14ac:dyDescent="0.2">
      <c r="A448" s="103"/>
      <c r="B448" s="100" t="s">
        <v>60</v>
      </c>
      <c r="C448" s="94" t="s">
        <v>96</v>
      </c>
      <c r="D448" s="94" t="s">
        <v>97</v>
      </c>
      <c r="E448" s="93" t="s">
        <v>162</v>
      </c>
      <c r="F448" s="93" t="s">
        <v>163</v>
      </c>
      <c r="G448" s="93" t="s">
        <v>164</v>
      </c>
      <c r="H448" s="93" t="s">
        <v>221</v>
      </c>
      <c r="I448" s="93" t="s">
        <v>220</v>
      </c>
      <c r="J448" s="226" t="s">
        <v>161</v>
      </c>
    </row>
    <row r="449" spans="1:10" ht="23.25" x14ac:dyDescent="0.2">
      <c r="A449" s="268" t="str">
        <f>'1-zapasy'!A155</f>
        <v>T-1</v>
      </c>
      <c r="B449" s="101"/>
      <c r="C449" s="99" t="e">
        <f>LEFT('1-zapasy'!B155,SEARCH("(",'1-zapasy'!B155)-1)</f>
        <v>#VALUE!</v>
      </c>
      <c r="D449" s="99" t="e">
        <f>LEFT('1-zapasy'!C155,SEARCH("(",'1-zapasy'!C155)-1)</f>
        <v>#VALUE!</v>
      </c>
      <c r="E449" s="225"/>
      <c r="F449" s="96"/>
      <c r="G449" s="96"/>
      <c r="H449" s="96"/>
      <c r="I449" s="96"/>
      <c r="J449" s="113"/>
    </row>
    <row r="450" spans="1:10" ht="24" thickBot="1" x14ac:dyDescent="0.25">
      <c r="A450" s="429" t="s">
        <v>165</v>
      </c>
      <c r="B450" s="430"/>
      <c r="C450" s="98" t="e">
        <f>C453</f>
        <v>#VALUE!</v>
      </c>
      <c r="D450" s="92" t="s">
        <v>166</v>
      </c>
      <c r="E450" s="431"/>
      <c r="F450" s="431"/>
      <c r="G450" s="431"/>
      <c r="H450" s="431"/>
      <c r="I450" s="431"/>
      <c r="J450" s="432"/>
    </row>
    <row r="451" spans="1:10" ht="13.5" thickBot="1" x14ac:dyDescent="0.25"/>
    <row r="452" spans="1:10" x14ac:dyDescent="0.2">
      <c r="A452" s="103"/>
      <c r="B452" s="100" t="s">
        <v>60</v>
      </c>
      <c r="C452" s="94" t="s">
        <v>96</v>
      </c>
      <c r="D452" s="94" t="s">
        <v>97</v>
      </c>
      <c r="E452" s="93" t="s">
        <v>162</v>
      </c>
      <c r="F452" s="93" t="s">
        <v>163</v>
      </c>
      <c r="G452" s="93" t="s">
        <v>164</v>
      </c>
      <c r="H452" s="93" t="s">
        <v>221</v>
      </c>
      <c r="I452" s="93" t="s">
        <v>220</v>
      </c>
      <c r="J452" s="226" t="s">
        <v>161</v>
      </c>
    </row>
    <row r="453" spans="1:10" ht="23.25" x14ac:dyDescent="0.2">
      <c r="A453" s="268" t="str">
        <f>'1-zapasy'!A156</f>
        <v>T-2</v>
      </c>
      <c r="B453" s="101"/>
      <c r="C453" s="99" t="e">
        <f>LEFT('1-zapasy'!B156,SEARCH("(",'1-zapasy'!B156)-1)</f>
        <v>#VALUE!</v>
      </c>
      <c r="D453" s="99" t="e">
        <f>LEFT('1-zapasy'!C156,SEARCH("(",'1-zapasy'!C156)-1)</f>
        <v>#VALUE!</v>
      </c>
      <c r="E453" s="96"/>
      <c r="F453" s="96"/>
      <c r="G453" s="96"/>
      <c r="H453" s="96"/>
      <c r="I453" s="96"/>
      <c r="J453" s="113"/>
    </row>
    <row r="454" spans="1:10" ht="24" thickBot="1" x14ac:dyDescent="0.25">
      <c r="A454" s="429" t="s">
        <v>165</v>
      </c>
      <c r="B454" s="430"/>
      <c r="C454" s="98" t="e">
        <f>C449</f>
        <v>#VALUE!</v>
      </c>
      <c r="D454" s="92" t="s">
        <v>166</v>
      </c>
      <c r="E454" s="431"/>
      <c r="F454" s="431"/>
      <c r="G454" s="431"/>
      <c r="H454" s="431"/>
      <c r="I454" s="431"/>
      <c r="J454" s="432"/>
    </row>
    <row r="455" spans="1:10" ht="13.5" thickBot="1" x14ac:dyDescent="0.25">
      <c r="A455" s="105"/>
    </row>
    <row r="456" spans="1:10" x14ac:dyDescent="0.2">
      <c r="A456" s="103"/>
      <c r="B456" s="100" t="s">
        <v>60</v>
      </c>
      <c r="C456" s="94" t="s">
        <v>96</v>
      </c>
      <c r="D456" s="94" t="s">
        <v>97</v>
      </c>
      <c r="E456" s="93" t="s">
        <v>162</v>
      </c>
      <c r="F456" s="93" t="s">
        <v>163</v>
      </c>
      <c r="G456" s="93" t="s">
        <v>164</v>
      </c>
      <c r="H456" s="93" t="s">
        <v>221</v>
      </c>
      <c r="I456" s="93" t="s">
        <v>220</v>
      </c>
      <c r="J456" s="226" t="s">
        <v>161</v>
      </c>
    </row>
    <row r="457" spans="1:10" ht="23.25" x14ac:dyDescent="0.2">
      <c r="A457" s="268" t="str">
        <f>'1-zapasy'!A157</f>
        <v>T-3</v>
      </c>
      <c r="B457" s="101"/>
      <c r="C457" s="99" t="e">
        <f>LEFT('1-zapasy'!B157,SEARCH("(",'1-zapasy'!B157)-1)</f>
        <v>#VALUE!</v>
      </c>
      <c r="D457" s="99" t="e">
        <f>LEFT('1-zapasy'!C157,SEARCH("(",'1-zapasy'!C157)-1)</f>
        <v>#VALUE!</v>
      </c>
      <c r="E457" s="96"/>
      <c r="F457" s="96"/>
      <c r="G457" s="96"/>
      <c r="H457" s="96"/>
      <c r="I457" s="96"/>
      <c r="J457" s="113"/>
    </row>
    <row r="458" spans="1:10" ht="24" thickBot="1" x14ac:dyDescent="0.25">
      <c r="A458" s="429" t="s">
        <v>165</v>
      </c>
      <c r="B458" s="430"/>
      <c r="C458" s="98" t="e">
        <f>C461</f>
        <v>#VALUE!</v>
      </c>
      <c r="D458" s="92" t="s">
        <v>166</v>
      </c>
      <c r="E458" s="431"/>
      <c r="F458" s="431"/>
      <c r="G458" s="431"/>
      <c r="H458" s="431"/>
      <c r="I458" s="431"/>
      <c r="J458" s="432"/>
    </row>
    <row r="459" spans="1:10" ht="13.5" thickBot="1" x14ac:dyDescent="0.25">
      <c r="A459" s="105"/>
    </row>
    <row r="460" spans="1:10" x14ac:dyDescent="0.2">
      <c r="A460" s="103"/>
      <c r="B460" s="100" t="s">
        <v>60</v>
      </c>
      <c r="C460" s="94" t="s">
        <v>96</v>
      </c>
      <c r="D460" s="94" t="s">
        <v>97</v>
      </c>
      <c r="E460" s="93" t="s">
        <v>162</v>
      </c>
      <c r="F460" s="93" t="s">
        <v>163</v>
      </c>
      <c r="G460" s="93" t="s">
        <v>164</v>
      </c>
      <c r="H460" s="93" t="s">
        <v>221</v>
      </c>
      <c r="I460" s="93" t="s">
        <v>220</v>
      </c>
      <c r="J460" s="226" t="s">
        <v>161</v>
      </c>
    </row>
    <row r="461" spans="1:10" ht="23.25" x14ac:dyDescent="0.2">
      <c r="A461" s="268" t="str">
        <f>'1-zapasy'!A158</f>
        <v>T-4</v>
      </c>
      <c r="B461" s="101"/>
      <c r="C461" s="99" t="e">
        <f>LEFT('1-zapasy'!B158,SEARCH("(",'1-zapasy'!B158)-1)</f>
        <v>#VALUE!</v>
      </c>
      <c r="D461" s="99" t="e">
        <f>LEFT('1-zapasy'!C158,SEARCH("(",'1-zapasy'!C158)-1)</f>
        <v>#VALUE!</v>
      </c>
      <c r="E461" s="96"/>
      <c r="F461" s="96"/>
      <c r="G461" s="96"/>
      <c r="H461" s="96"/>
      <c r="I461" s="96"/>
      <c r="J461" s="113"/>
    </row>
    <row r="462" spans="1:10" ht="24" thickBot="1" x14ac:dyDescent="0.25">
      <c r="A462" s="429" t="s">
        <v>165</v>
      </c>
      <c r="B462" s="430"/>
      <c r="C462" s="98" t="e">
        <f>C457</f>
        <v>#VALUE!</v>
      </c>
      <c r="D462" s="92" t="s">
        <v>166</v>
      </c>
      <c r="E462" s="431"/>
      <c r="F462" s="431"/>
      <c r="G462" s="431"/>
      <c r="H462" s="431"/>
      <c r="I462" s="431"/>
      <c r="J462" s="432"/>
    </row>
    <row r="463" spans="1:10" ht="13.5" thickBot="1" x14ac:dyDescent="0.25">
      <c r="A463" s="105"/>
    </row>
    <row r="464" spans="1:10" x14ac:dyDescent="0.2">
      <c r="A464" s="103"/>
      <c r="B464" s="100" t="s">
        <v>60</v>
      </c>
      <c r="C464" s="94" t="s">
        <v>96</v>
      </c>
      <c r="D464" s="94" t="s">
        <v>97</v>
      </c>
      <c r="E464" s="93" t="s">
        <v>162</v>
      </c>
      <c r="F464" s="93" t="s">
        <v>163</v>
      </c>
      <c r="G464" s="93" t="s">
        <v>164</v>
      </c>
      <c r="H464" s="93" t="s">
        <v>221</v>
      </c>
      <c r="I464" s="93" t="s">
        <v>220</v>
      </c>
      <c r="J464" s="226" t="s">
        <v>161</v>
      </c>
    </row>
    <row r="465" spans="1:10" ht="23.25" x14ac:dyDescent="0.2">
      <c r="A465" s="268" t="str">
        <f>'1-zapasy'!A159</f>
        <v>T-5</v>
      </c>
      <c r="B465" s="101"/>
      <c r="C465" s="99" t="e">
        <f>LEFT('1-zapasy'!B159,SEARCH("(",'1-zapasy'!B159)-1)</f>
        <v>#VALUE!</v>
      </c>
      <c r="D465" s="99" t="e">
        <f>LEFT('1-zapasy'!C159,SEARCH("(",'1-zapasy'!C159)-1)</f>
        <v>#VALUE!</v>
      </c>
      <c r="E465" s="96"/>
      <c r="F465" s="96"/>
      <c r="G465" s="96"/>
      <c r="H465" s="96"/>
      <c r="I465" s="96"/>
      <c r="J465" s="113"/>
    </row>
    <row r="466" spans="1:10" ht="24" thickBot="1" x14ac:dyDescent="0.25">
      <c r="A466" s="429" t="s">
        <v>165</v>
      </c>
      <c r="B466" s="430"/>
      <c r="C466" s="98" t="e">
        <f>C450</f>
        <v>#VALUE!</v>
      </c>
      <c r="D466" s="92" t="s">
        <v>166</v>
      </c>
      <c r="E466" s="431"/>
      <c r="F466" s="431"/>
      <c r="G466" s="431"/>
      <c r="H466" s="431"/>
      <c r="I466" s="431"/>
      <c r="J466" s="432"/>
    </row>
    <row r="467" spans="1:10" ht="13.5" thickBot="1" x14ac:dyDescent="0.25"/>
    <row r="468" spans="1:10" x14ac:dyDescent="0.2">
      <c r="A468" s="103"/>
      <c r="B468" s="100" t="s">
        <v>60</v>
      </c>
      <c r="C468" s="94" t="s">
        <v>96</v>
      </c>
      <c r="D468" s="94" t="s">
        <v>97</v>
      </c>
      <c r="E468" s="93" t="s">
        <v>162</v>
      </c>
      <c r="F468" s="93" t="s">
        <v>163</v>
      </c>
      <c r="G468" s="93" t="s">
        <v>164</v>
      </c>
      <c r="H468" s="93" t="s">
        <v>221</v>
      </c>
      <c r="I468" s="93" t="s">
        <v>220</v>
      </c>
      <c r="J468" s="226" t="s">
        <v>161</v>
      </c>
    </row>
    <row r="469" spans="1:10" ht="23.25" x14ac:dyDescent="0.2">
      <c r="A469" s="268" t="str">
        <f>'1-zapasy'!A160</f>
        <v>T-6</v>
      </c>
      <c r="B469" s="101"/>
      <c r="C469" s="99" t="e">
        <f>LEFT('1-zapasy'!B160,SEARCH("(",'1-zapasy'!B160)-1)</f>
        <v>#VALUE!</v>
      </c>
      <c r="D469" s="99" t="e">
        <f>LEFT('1-zapasy'!C160,SEARCH("(",'1-zapasy'!C160)-1)</f>
        <v>#VALUE!</v>
      </c>
      <c r="E469" s="96"/>
      <c r="F469" s="96"/>
      <c r="G469" s="96"/>
      <c r="H469" s="96"/>
      <c r="I469" s="96"/>
      <c r="J469" s="113"/>
    </row>
    <row r="470" spans="1:10" ht="24" thickBot="1" x14ac:dyDescent="0.25">
      <c r="A470" s="429" t="s">
        <v>165</v>
      </c>
      <c r="B470" s="430"/>
      <c r="C470" s="98" t="e">
        <f>C458</f>
        <v>#VALUE!</v>
      </c>
      <c r="D470" s="92" t="s">
        <v>166</v>
      </c>
      <c r="E470" s="431"/>
      <c r="F470" s="431"/>
      <c r="G470" s="431"/>
      <c r="H470" s="431"/>
      <c r="I470" s="431"/>
      <c r="J470" s="432"/>
    </row>
  </sheetData>
  <mergeCells count="240">
    <mergeCell ref="A11:B11"/>
    <mergeCell ref="E11:J11"/>
    <mergeCell ref="A3:B3"/>
    <mergeCell ref="E3:J3"/>
    <mergeCell ref="A7:B7"/>
    <mergeCell ref="E7:J7"/>
    <mergeCell ref="E15:J15"/>
    <mergeCell ref="A15:B15"/>
    <mergeCell ref="A23:B23"/>
    <mergeCell ref="E23:J23"/>
    <mergeCell ref="A19:B19"/>
    <mergeCell ref="E19:J19"/>
    <mergeCell ref="A27:B27"/>
    <mergeCell ref="E27:J27"/>
    <mergeCell ref="A66:B66"/>
    <mergeCell ref="E66:J66"/>
    <mergeCell ref="A70:B70"/>
    <mergeCell ref="E70:J70"/>
    <mergeCell ref="A58:B58"/>
    <mergeCell ref="E58:J58"/>
    <mergeCell ref="A62:B62"/>
    <mergeCell ref="E62:J62"/>
    <mergeCell ref="A43:B43"/>
    <mergeCell ref="E43:J43"/>
    <mergeCell ref="A47:B47"/>
    <mergeCell ref="E47:J47"/>
    <mergeCell ref="A39:B39"/>
    <mergeCell ref="E39:J39"/>
    <mergeCell ref="A31:B31"/>
    <mergeCell ref="E31:J31"/>
    <mergeCell ref="A82:B82"/>
    <mergeCell ref="E82:J82"/>
    <mergeCell ref="A86:B86"/>
    <mergeCell ref="E86:J86"/>
    <mergeCell ref="A90:B90"/>
    <mergeCell ref="E90:J90"/>
    <mergeCell ref="A35:B35"/>
    <mergeCell ref="E35:J35"/>
    <mergeCell ref="A74:B74"/>
    <mergeCell ref="E74:J74"/>
    <mergeCell ref="A78:B78"/>
    <mergeCell ref="E78:J78"/>
    <mergeCell ref="A50:B50"/>
    <mergeCell ref="E50:J50"/>
    <mergeCell ref="A54:B54"/>
    <mergeCell ref="E54:J54"/>
    <mergeCell ref="A105:B105"/>
    <mergeCell ref="E105:J105"/>
    <mergeCell ref="A109:B109"/>
    <mergeCell ref="E109:J109"/>
    <mergeCell ref="A113:B113"/>
    <mergeCell ref="E113:J113"/>
    <mergeCell ref="A94:B94"/>
    <mergeCell ref="E94:J94"/>
    <mergeCell ref="A97:B97"/>
    <mergeCell ref="E97:J97"/>
    <mergeCell ref="A101:B101"/>
    <mergeCell ref="E101:J101"/>
    <mergeCell ref="A129:B129"/>
    <mergeCell ref="E129:J129"/>
    <mergeCell ref="A133:B133"/>
    <mergeCell ref="E133:J133"/>
    <mergeCell ref="A137:B137"/>
    <mergeCell ref="E137:J137"/>
    <mergeCell ref="A117:B117"/>
    <mergeCell ref="E117:J117"/>
    <mergeCell ref="A121:B121"/>
    <mergeCell ref="E121:J121"/>
    <mergeCell ref="A125:B125"/>
    <mergeCell ref="E125:J125"/>
    <mergeCell ref="A152:B152"/>
    <mergeCell ref="E152:J152"/>
    <mergeCell ref="A156:B156"/>
    <mergeCell ref="E156:J156"/>
    <mergeCell ref="A160:B160"/>
    <mergeCell ref="E160:J160"/>
    <mergeCell ref="A141:B141"/>
    <mergeCell ref="E141:J141"/>
    <mergeCell ref="A144:B144"/>
    <mergeCell ref="E144:J144"/>
    <mergeCell ref="A148:B148"/>
    <mergeCell ref="E148:J148"/>
    <mergeCell ref="A176:B176"/>
    <mergeCell ref="E176:J176"/>
    <mergeCell ref="A180:B180"/>
    <mergeCell ref="E180:J180"/>
    <mergeCell ref="A184:B184"/>
    <mergeCell ref="E184:J184"/>
    <mergeCell ref="A164:B164"/>
    <mergeCell ref="E164:J164"/>
    <mergeCell ref="A168:B168"/>
    <mergeCell ref="E168:J168"/>
    <mergeCell ref="A172:B172"/>
    <mergeCell ref="E172:J172"/>
    <mergeCell ref="A199:B199"/>
    <mergeCell ref="E199:J199"/>
    <mergeCell ref="A203:B203"/>
    <mergeCell ref="E203:J203"/>
    <mergeCell ref="A207:B207"/>
    <mergeCell ref="E207:J207"/>
    <mergeCell ref="A188:B188"/>
    <mergeCell ref="E188:J188"/>
    <mergeCell ref="A191:B191"/>
    <mergeCell ref="E191:J191"/>
    <mergeCell ref="A195:B195"/>
    <mergeCell ref="E195:J195"/>
    <mergeCell ref="A223:B223"/>
    <mergeCell ref="E223:J223"/>
    <mergeCell ref="A227:B227"/>
    <mergeCell ref="E227:J227"/>
    <mergeCell ref="A231:B231"/>
    <mergeCell ref="E231:J231"/>
    <mergeCell ref="A211:B211"/>
    <mergeCell ref="E211:J211"/>
    <mergeCell ref="A215:B215"/>
    <mergeCell ref="E215:J215"/>
    <mergeCell ref="A219:B219"/>
    <mergeCell ref="E219:J219"/>
    <mergeCell ref="A246:B246"/>
    <mergeCell ref="E246:J246"/>
    <mergeCell ref="A250:B250"/>
    <mergeCell ref="E250:J250"/>
    <mergeCell ref="A254:B254"/>
    <mergeCell ref="E254:J254"/>
    <mergeCell ref="A235:B235"/>
    <mergeCell ref="E235:J235"/>
    <mergeCell ref="A238:B238"/>
    <mergeCell ref="E238:J238"/>
    <mergeCell ref="A242:B242"/>
    <mergeCell ref="E242:J242"/>
    <mergeCell ref="A270:B270"/>
    <mergeCell ref="E270:J270"/>
    <mergeCell ref="A274:B274"/>
    <mergeCell ref="E274:J274"/>
    <mergeCell ref="A278:B278"/>
    <mergeCell ref="E278:J278"/>
    <mergeCell ref="A258:B258"/>
    <mergeCell ref="E258:J258"/>
    <mergeCell ref="A262:B262"/>
    <mergeCell ref="E262:J262"/>
    <mergeCell ref="A266:B266"/>
    <mergeCell ref="E266:J266"/>
    <mergeCell ref="A293:B293"/>
    <mergeCell ref="E293:J293"/>
    <mergeCell ref="A297:B297"/>
    <mergeCell ref="E297:J297"/>
    <mergeCell ref="A301:B301"/>
    <mergeCell ref="E301:J301"/>
    <mergeCell ref="A282:B282"/>
    <mergeCell ref="E282:J282"/>
    <mergeCell ref="A285:B285"/>
    <mergeCell ref="E285:J285"/>
    <mergeCell ref="A289:B289"/>
    <mergeCell ref="E289:J289"/>
    <mergeCell ref="A317:B317"/>
    <mergeCell ref="E317:J317"/>
    <mergeCell ref="A321:B321"/>
    <mergeCell ref="E321:J321"/>
    <mergeCell ref="A325:B325"/>
    <mergeCell ref="E325:J325"/>
    <mergeCell ref="A305:B305"/>
    <mergeCell ref="E305:J305"/>
    <mergeCell ref="A309:B309"/>
    <mergeCell ref="E309:J309"/>
    <mergeCell ref="A313:B313"/>
    <mergeCell ref="E313:J313"/>
    <mergeCell ref="A340:B340"/>
    <mergeCell ref="E340:J340"/>
    <mergeCell ref="A344:B344"/>
    <mergeCell ref="E344:J344"/>
    <mergeCell ref="A348:B348"/>
    <mergeCell ref="E348:J348"/>
    <mergeCell ref="A329:B329"/>
    <mergeCell ref="E329:J329"/>
    <mergeCell ref="A332:B332"/>
    <mergeCell ref="E332:J332"/>
    <mergeCell ref="A336:B336"/>
    <mergeCell ref="E336:J336"/>
    <mergeCell ref="A364:B364"/>
    <mergeCell ref="E364:J364"/>
    <mergeCell ref="A368:B368"/>
    <mergeCell ref="E368:J368"/>
    <mergeCell ref="A372:B372"/>
    <mergeCell ref="E372:J372"/>
    <mergeCell ref="A352:B352"/>
    <mergeCell ref="E352:J352"/>
    <mergeCell ref="A356:B356"/>
    <mergeCell ref="E356:J356"/>
    <mergeCell ref="A360:B360"/>
    <mergeCell ref="E360:J360"/>
    <mergeCell ref="A387:B387"/>
    <mergeCell ref="E387:J387"/>
    <mergeCell ref="A391:B391"/>
    <mergeCell ref="E391:J391"/>
    <mergeCell ref="A395:B395"/>
    <mergeCell ref="E395:J395"/>
    <mergeCell ref="A376:B376"/>
    <mergeCell ref="E376:J376"/>
    <mergeCell ref="A379:B379"/>
    <mergeCell ref="E379:J379"/>
    <mergeCell ref="A383:B383"/>
    <mergeCell ref="E383:J383"/>
    <mergeCell ref="A411:B411"/>
    <mergeCell ref="E411:J411"/>
    <mergeCell ref="A415:B415"/>
    <mergeCell ref="E415:J415"/>
    <mergeCell ref="A419:B419"/>
    <mergeCell ref="E419:J419"/>
    <mergeCell ref="A399:B399"/>
    <mergeCell ref="E399:J399"/>
    <mergeCell ref="A403:B403"/>
    <mergeCell ref="E403:J403"/>
    <mergeCell ref="A407:B407"/>
    <mergeCell ref="E407:J407"/>
    <mergeCell ref="A434:B434"/>
    <mergeCell ref="E434:J434"/>
    <mergeCell ref="A438:B438"/>
    <mergeCell ref="E438:J438"/>
    <mergeCell ref="A442:B442"/>
    <mergeCell ref="E442:J442"/>
    <mergeCell ref="A423:B423"/>
    <mergeCell ref="E423:J423"/>
    <mergeCell ref="A426:B426"/>
    <mergeCell ref="E426:J426"/>
    <mergeCell ref="A430:B430"/>
    <mergeCell ref="E430:J430"/>
    <mergeCell ref="A470:B470"/>
    <mergeCell ref="E470:J470"/>
    <mergeCell ref="A458:B458"/>
    <mergeCell ref="E458:J458"/>
    <mergeCell ref="A462:B462"/>
    <mergeCell ref="E462:J462"/>
    <mergeCell ref="A466:B466"/>
    <mergeCell ref="E466:J466"/>
    <mergeCell ref="A446:B446"/>
    <mergeCell ref="E446:J446"/>
    <mergeCell ref="A450:B450"/>
    <mergeCell ref="E450:J450"/>
    <mergeCell ref="A454:B454"/>
    <mergeCell ref="E454:J454"/>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rowBreaks count="5" manualBreakCount="5">
    <brk id="47" max="9" man="1"/>
    <brk id="94" max="9" man="1"/>
    <brk id="141" max="9" man="1"/>
    <brk id="188" max="9" man="1"/>
    <brk id="235"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6AC1-618E-4F29-B4C6-193AC7B9A967}">
  <dimension ref="A1:Q29"/>
  <sheetViews>
    <sheetView view="pageBreakPreview" zoomScale="115" zoomScaleNormal="115" zoomScaleSheetLayoutView="115" workbookViewId="0">
      <pane ySplit="4" topLeftCell="A5" activePane="bottomLeft" state="frozen"/>
      <selection activeCell="A2" sqref="A2:O2"/>
      <selection pane="bottomLeft" activeCell="A2" sqref="A2:O2"/>
    </sheetView>
  </sheetViews>
  <sheetFormatPr defaultRowHeight="12.75" x14ac:dyDescent="0.2"/>
  <cols>
    <col min="1" max="1" width="4" bestFit="1" customWidth="1"/>
    <col min="2" max="2" width="5" bestFit="1" customWidth="1"/>
    <col min="3" max="3" width="24.7109375" customWidth="1"/>
    <col min="4" max="4" width="3.7109375" customWidth="1"/>
    <col min="5" max="5" width="5" bestFit="1" customWidth="1"/>
    <col min="6" max="6" width="24.7109375" customWidth="1"/>
    <col min="7" max="7" width="3.7109375" customWidth="1"/>
    <col min="8" max="8" width="5" bestFit="1" customWidth="1"/>
    <col min="9" max="9" width="24.7109375" customWidth="1"/>
    <col min="10" max="10" width="3.7109375" customWidth="1"/>
    <col min="11" max="11" width="5" bestFit="1" customWidth="1"/>
    <col min="12" max="12" width="24.7109375" customWidth="1"/>
    <col min="13" max="14" width="3.7109375" customWidth="1"/>
    <col min="15" max="15" width="24.7109375" customWidth="1"/>
    <col min="16" max="16" width="3.7109375" customWidth="1"/>
    <col min="17" max="17" width="24.7109375" customWidth="1"/>
    <col min="18" max="18" width="3.7109375" customWidth="1"/>
  </cols>
  <sheetData>
    <row r="1" spans="1:17" ht="15" x14ac:dyDescent="0.2">
      <c r="A1" s="433" t="s">
        <v>682</v>
      </c>
      <c r="B1" s="433"/>
      <c r="C1" s="433"/>
      <c r="D1" s="433"/>
      <c r="E1" s="433"/>
      <c r="F1" s="433"/>
      <c r="G1" s="433"/>
      <c r="H1" s="433"/>
      <c r="I1" s="433"/>
      <c r="J1" s="433"/>
      <c r="K1" s="433"/>
      <c r="L1" s="433"/>
      <c r="M1" s="433"/>
      <c r="N1" s="433"/>
      <c r="O1" s="433"/>
      <c r="P1" s="310"/>
      <c r="Q1" s="310"/>
    </row>
    <row r="2" spans="1:17" ht="15" x14ac:dyDescent="0.2">
      <c r="A2" s="433" t="s">
        <v>605</v>
      </c>
      <c r="B2" s="433"/>
      <c r="C2" s="433"/>
      <c r="D2" s="433"/>
      <c r="E2" s="433"/>
      <c r="F2" s="433"/>
      <c r="G2" s="433"/>
      <c r="H2" s="433"/>
      <c r="I2" s="433"/>
      <c r="J2" s="433"/>
      <c r="K2" s="433"/>
      <c r="L2" s="433"/>
      <c r="M2" s="433"/>
      <c r="N2" s="433"/>
      <c r="O2" s="433"/>
      <c r="P2" s="310"/>
      <c r="Q2" s="310"/>
    </row>
    <row r="3" spans="1:17" ht="15" x14ac:dyDescent="0.2">
      <c r="A3" s="325"/>
      <c r="B3" s="325"/>
      <c r="C3" s="325"/>
      <c r="D3" s="325"/>
      <c r="E3" s="325"/>
      <c r="F3" s="325"/>
      <c r="G3" s="325"/>
      <c r="H3" s="325"/>
      <c r="I3" s="325"/>
      <c r="J3" s="325"/>
      <c r="K3" s="325"/>
      <c r="L3" s="325"/>
      <c r="M3" s="325"/>
      <c r="N3" s="325"/>
      <c r="O3" s="325"/>
      <c r="P3" s="310"/>
      <c r="Q3" s="310"/>
    </row>
    <row r="4" spans="1:17" x14ac:dyDescent="0.2">
      <c r="A4" s="434" t="s">
        <v>223</v>
      </c>
      <c r="B4" s="434"/>
      <c r="C4" s="434"/>
      <c r="D4" s="434"/>
      <c r="E4" s="435" t="s">
        <v>226</v>
      </c>
      <c r="F4" s="435"/>
      <c r="G4" s="435"/>
      <c r="H4" s="435" t="s">
        <v>227</v>
      </c>
      <c r="I4" s="435"/>
      <c r="J4" s="435"/>
      <c r="K4" s="435" t="s">
        <v>225</v>
      </c>
      <c r="L4" s="435"/>
      <c r="M4" s="435"/>
      <c r="N4" s="435" t="s">
        <v>224</v>
      </c>
      <c r="O4" s="435"/>
      <c r="Q4" s="326"/>
    </row>
    <row r="5" spans="1:17" x14ac:dyDescent="0.2">
      <c r="A5" s="273" t="s">
        <v>518</v>
      </c>
      <c r="B5" s="279"/>
      <c r="C5" s="210" t="str">
        <f>IF(B5="","",VLOOKUP(B5,prezentace!A$2:E$200,5))</f>
        <v/>
      </c>
      <c r="D5" s="283"/>
      <c r="E5" s="297"/>
      <c r="F5" s="296"/>
      <c r="G5" s="285"/>
      <c r="H5" s="297"/>
      <c r="I5" s="296"/>
      <c r="J5" s="285"/>
      <c r="K5" s="297"/>
      <c r="L5" s="296"/>
      <c r="M5" s="291"/>
      <c r="N5" s="308"/>
      <c r="O5" s="296"/>
    </row>
    <row r="6" spans="1:17" x14ac:dyDescent="0.2">
      <c r="A6" s="277" t="s">
        <v>600</v>
      </c>
      <c r="B6" s="280"/>
      <c r="C6" s="212" t="str">
        <f>IF(B6="","",VLOOKUP(B6,prezentace!A$2:E$200,5))</f>
        <v/>
      </c>
      <c r="D6" s="284"/>
      <c r="E6" s="292" t="s">
        <v>110</v>
      </c>
      <c r="F6" s="304" t="str">
        <f>IF(COUNTBLANK(D5:D6)&gt;0,"",IF(D5&gt;D6,C5,C6))</f>
        <v/>
      </c>
      <c r="G6" s="283"/>
      <c r="H6" s="297"/>
      <c r="I6" s="296"/>
      <c r="J6" s="285"/>
      <c r="K6" s="297"/>
      <c r="L6" s="296"/>
      <c r="M6" s="291"/>
      <c r="N6" s="308"/>
      <c r="O6" s="296"/>
    </row>
    <row r="7" spans="1:17" x14ac:dyDescent="0.2">
      <c r="A7" s="213"/>
      <c r="B7" s="281"/>
      <c r="C7" s="211"/>
      <c r="D7" s="285"/>
      <c r="E7" s="297"/>
      <c r="F7" s="296"/>
      <c r="G7" s="287"/>
      <c r="H7" s="327" t="s">
        <v>315</v>
      </c>
      <c r="I7" s="304" t="str">
        <f>IF(COUNTBLANK(G6:G8)&gt;1,"",IF(G6&gt;G8,F6,F8))</f>
        <v/>
      </c>
      <c r="J7" s="283"/>
      <c r="K7" s="297"/>
      <c r="L7" s="296"/>
      <c r="M7" s="285"/>
      <c r="N7" s="297"/>
      <c r="O7" s="296"/>
    </row>
    <row r="8" spans="1:17" x14ac:dyDescent="0.2">
      <c r="A8" s="273" t="s">
        <v>525</v>
      </c>
      <c r="B8" s="279"/>
      <c r="C8" s="210" t="str">
        <f>IF(B8="","",VLOOKUP(B8,prezentace!A$2:E$200,5))</f>
        <v/>
      </c>
      <c r="D8" s="283"/>
      <c r="E8" s="293" t="s">
        <v>110</v>
      </c>
      <c r="F8" s="305" t="str">
        <f>IF(COUNTBLANK(D8:D9)&gt;0,"",IF(D8&gt;D9,C8,C9))</f>
        <v/>
      </c>
      <c r="G8" s="284"/>
      <c r="H8" s="328"/>
      <c r="I8" s="296"/>
      <c r="J8" s="287"/>
      <c r="K8" s="297"/>
      <c r="L8" s="296"/>
      <c r="M8" s="291"/>
      <c r="N8" s="308"/>
      <c r="O8" s="296"/>
    </row>
    <row r="9" spans="1:17" x14ac:dyDescent="0.2">
      <c r="A9" s="277" t="s">
        <v>537</v>
      </c>
      <c r="B9" s="280"/>
      <c r="C9" s="212" t="str">
        <f>IF(B9="","",VLOOKUP(B9,prezentace!A$2:E$200,5))</f>
        <v/>
      </c>
      <c r="D9" s="284"/>
      <c r="E9" s="297"/>
      <c r="F9" s="296"/>
      <c r="G9" s="285"/>
      <c r="H9" s="297"/>
      <c r="I9" s="296"/>
      <c r="J9" s="287"/>
      <c r="K9" s="297"/>
      <c r="L9" s="296"/>
      <c r="M9" s="291"/>
      <c r="N9" s="308"/>
      <c r="O9" s="296"/>
    </row>
    <row r="10" spans="1:17" x14ac:dyDescent="0.2">
      <c r="A10" s="213"/>
      <c r="B10" s="281"/>
      <c r="C10" s="211"/>
      <c r="D10" s="285"/>
      <c r="E10" s="297"/>
      <c r="F10" s="296"/>
      <c r="G10" s="285"/>
      <c r="H10" s="297"/>
      <c r="I10" s="296"/>
      <c r="J10" s="287"/>
      <c r="K10" s="327" t="s">
        <v>319</v>
      </c>
      <c r="L10" s="304" t="str">
        <f>IF(COUNTBLANK(J7:J13)&gt;5,"",IF(J7&gt;J13,I7,I13))</f>
        <v/>
      </c>
      <c r="M10" s="283"/>
      <c r="N10" s="297"/>
      <c r="O10" s="296"/>
    </row>
    <row r="11" spans="1:17" x14ac:dyDescent="0.2">
      <c r="A11" s="273" t="s">
        <v>601</v>
      </c>
      <c r="B11" s="279"/>
      <c r="C11" s="210" t="str">
        <f>IF(B11="","",VLOOKUP(B11,prezentace!A$2:E$200,5))</f>
        <v/>
      </c>
      <c r="D11" s="283"/>
      <c r="E11" s="297"/>
      <c r="F11" s="296"/>
      <c r="G11" s="285"/>
      <c r="H11" s="297"/>
      <c r="I11" s="296"/>
      <c r="J11" s="287"/>
      <c r="K11" s="328"/>
      <c r="L11" s="296"/>
      <c r="M11" s="289"/>
      <c r="N11" s="308"/>
      <c r="O11" s="296"/>
    </row>
    <row r="12" spans="1:17" x14ac:dyDescent="0.2">
      <c r="A12" s="277" t="s">
        <v>603</v>
      </c>
      <c r="B12" s="280"/>
      <c r="C12" s="212" t="str">
        <f>IF(B12="","",VLOOKUP(B12,prezentace!A$2:E$200,5))</f>
        <v/>
      </c>
      <c r="D12" s="284"/>
      <c r="E12" s="292" t="s">
        <v>110</v>
      </c>
      <c r="F12" s="304" t="str">
        <f>IF(COUNTBLANK(D11:D12)&gt;0,"",IF(D11&gt;D12,C11,C12))</f>
        <v/>
      </c>
      <c r="G12" s="283"/>
      <c r="H12" s="328"/>
      <c r="I12" s="296"/>
      <c r="J12" s="287"/>
      <c r="K12" s="297"/>
      <c r="L12" s="296"/>
      <c r="M12" s="289"/>
      <c r="N12" s="308"/>
      <c r="O12" s="296"/>
    </row>
    <row r="13" spans="1:17" x14ac:dyDescent="0.2">
      <c r="A13" s="213"/>
      <c r="B13" s="281"/>
      <c r="C13" s="211"/>
      <c r="D13" s="285"/>
      <c r="E13" s="297"/>
      <c r="F13" s="296"/>
      <c r="G13" s="287"/>
      <c r="H13" s="329" t="s">
        <v>315</v>
      </c>
      <c r="I13" s="305" t="str">
        <f>IF(COUNTBLANK(G12:G14)&gt;1,"",IF(G12&gt;G14,F12,F14))</f>
        <v/>
      </c>
      <c r="J13" s="284"/>
      <c r="K13" s="297"/>
      <c r="L13" s="303"/>
      <c r="M13" s="287"/>
      <c r="N13" s="297"/>
      <c r="O13" s="296"/>
    </row>
    <row r="14" spans="1:17" x14ac:dyDescent="0.2">
      <c r="A14" s="273" t="s">
        <v>600</v>
      </c>
      <c r="B14" s="279"/>
      <c r="C14" s="210" t="str">
        <f>IF(B14="","",VLOOKUP(B14,prezentace!A$2:E$200,5))</f>
        <v/>
      </c>
      <c r="D14" s="283"/>
      <c r="E14" s="293" t="s">
        <v>110</v>
      </c>
      <c r="F14" s="305" t="str">
        <f>IF(COUNTBLANK(D14:D15)&gt;0,"",IF(D14&gt;D15,C14,C15))</f>
        <v/>
      </c>
      <c r="G14" s="284"/>
      <c r="H14" s="297"/>
      <c r="I14" s="296"/>
      <c r="J14" s="285"/>
      <c r="K14" s="297"/>
      <c r="L14" s="296"/>
      <c r="M14" s="289"/>
      <c r="N14" s="308"/>
      <c r="O14" s="296"/>
    </row>
    <row r="15" spans="1:17" x14ac:dyDescent="0.2">
      <c r="A15" s="277" t="s">
        <v>530</v>
      </c>
      <c r="B15" s="280"/>
      <c r="C15" s="212" t="str">
        <f>IF(B15="","",VLOOKUP(B15,prezentace!A$2:E$200,5))</f>
        <v/>
      </c>
      <c r="D15" s="284"/>
      <c r="E15" s="297"/>
      <c r="F15" s="296"/>
      <c r="G15" s="285"/>
      <c r="H15" s="297"/>
      <c r="I15" s="296"/>
      <c r="J15" s="285"/>
      <c r="K15" s="297"/>
      <c r="L15" s="296"/>
      <c r="M15" s="290"/>
      <c r="N15" s="309"/>
      <c r="O15" s="296"/>
    </row>
    <row r="16" spans="1:17" x14ac:dyDescent="0.2">
      <c r="A16" s="215"/>
      <c r="B16" s="282"/>
      <c r="C16" s="211"/>
      <c r="D16" s="285"/>
      <c r="E16" s="297"/>
      <c r="F16" s="296"/>
      <c r="G16" s="285"/>
      <c r="H16" s="297"/>
      <c r="I16" s="296"/>
      <c r="J16" s="285"/>
      <c r="K16" s="297"/>
      <c r="L16" s="296"/>
      <c r="M16" s="290"/>
      <c r="N16" s="298" t="s">
        <v>320</v>
      </c>
      <c r="O16" s="299" t="str">
        <f>IF(COUNTBLANK(M10:M22)&gt;11,"",IF(M10&gt;M22,L10,L22))</f>
        <v/>
      </c>
    </row>
    <row r="17" spans="1:17" x14ac:dyDescent="0.2">
      <c r="A17" s="273" t="s">
        <v>536</v>
      </c>
      <c r="B17" s="279"/>
      <c r="C17" s="210" t="str">
        <f>IF(B17="","",VLOOKUP(B17,prezentace!A$2:E$200,5))</f>
        <v/>
      </c>
      <c r="D17" s="283"/>
      <c r="E17" s="297"/>
      <c r="F17" s="296"/>
      <c r="G17" s="285"/>
      <c r="H17" s="297"/>
      <c r="I17" s="296"/>
      <c r="J17" s="285"/>
      <c r="K17" s="297"/>
      <c r="L17" s="296"/>
      <c r="M17" s="289"/>
      <c r="N17" s="308"/>
      <c r="O17" s="296"/>
    </row>
    <row r="18" spans="1:17" x14ac:dyDescent="0.2">
      <c r="A18" s="277" t="s">
        <v>600</v>
      </c>
      <c r="B18" s="280"/>
      <c r="C18" s="212" t="str">
        <f>IF(B18="","",VLOOKUP(B18,prezentace!A$2:E$200,5))</f>
        <v/>
      </c>
      <c r="D18" s="284"/>
      <c r="E18" s="292" t="s">
        <v>110</v>
      </c>
      <c r="F18" s="304" t="str">
        <f>IF(COUNTBLANK(D17:D18)&gt;0,"",IF(D17&gt;D18,C17,C18))</f>
        <v/>
      </c>
      <c r="G18" s="283"/>
      <c r="H18" s="297"/>
      <c r="I18" s="296"/>
      <c r="J18" s="285"/>
      <c r="K18" s="297"/>
      <c r="L18" s="296"/>
      <c r="M18" s="289"/>
      <c r="N18" s="308"/>
      <c r="O18" s="296"/>
    </row>
    <row r="19" spans="1:17" x14ac:dyDescent="0.2">
      <c r="A19" s="213"/>
      <c r="B19" s="281"/>
      <c r="C19" s="211"/>
      <c r="D19" s="285"/>
      <c r="E19" s="297"/>
      <c r="F19" s="296"/>
      <c r="G19" s="287"/>
      <c r="H19" s="327" t="s">
        <v>315</v>
      </c>
      <c r="I19" s="304" t="str">
        <f>IF(COUNTBLANK(G18:G20)&gt;1,"",IF(G18&gt;G20,F18,F20))</f>
        <v/>
      </c>
      <c r="J19" s="283"/>
      <c r="K19" s="297"/>
      <c r="L19" s="296"/>
      <c r="M19" s="287"/>
      <c r="N19" s="297"/>
      <c r="O19" s="296"/>
    </row>
    <row r="20" spans="1:17" x14ac:dyDescent="0.2">
      <c r="A20" s="273" t="s">
        <v>604</v>
      </c>
      <c r="B20" s="279"/>
      <c r="C20" s="210" t="str">
        <f>IF(B20="","",VLOOKUP(B20,prezentace!A$2:E$200,5))</f>
        <v/>
      </c>
      <c r="D20" s="283"/>
      <c r="E20" s="293" t="s">
        <v>110</v>
      </c>
      <c r="F20" s="305" t="str">
        <f>IF(COUNTBLANK(D20:D21)&gt;0,"",IF(D20&gt;D21,C20,C21))</f>
        <v/>
      </c>
      <c r="G20" s="284"/>
      <c r="H20" s="328"/>
      <c r="I20" s="296"/>
      <c r="J20" s="287"/>
      <c r="K20" s="297"/>
      <c r="L20" s="296"/>
      <c r="M20" s="289"/>
      <c r="N20" s="308"/>
      <c r="O20" s="296"/>
    </row>
    <row r="21" spans="1:17" x14ac:dyDescent="0.2">
      <c r="A21" s="277" t="s">
        <v>602</v>
      </c>
      <c r="B21" s="280"/>
      <c r="C21" s="212" t="str">
        <f>IF(B21="","",VLOOKUP(B21,prezentace!A$2:E$200,5))</f>
        <v/>
      </c>
      <c r="D21" s="284"/>
      <c r="E21" s="297"/>
      <c r="F21" s="296"/>
      <c r="G21" s="285"/>
      <c r="H21" s="297"/>
      <c r="I21" s="296"/>
      <c r="J21" s="287"/>
      <c r="K21" s="328"/>
      <c r="L21" s="296"/>
      <c r="M21" s="289"/>
      <c r="N21" s="308"/>
      <c r="O21" s="296"/>
    </row>
    <row r="22" spans="1:17" x14ac:dyDescent="0.2">
      <c r="A22" s="215"/>
      <c r="B22" s="282"/>
      <c r="C22" s="211"/>
      <c r="D22" s="285"/>
      <c r="E22" s="297"/>
      <c r="F22" s="296"/>
      <c r="G22" s="285"/>
      <c r="H22" s="297"/>
      <c r="I22" s="296"/>
      <c r="J22" s="287"/>
      <c r="K22" s="329" t="s">
        <v>319</v>
      </c>
      <c r="L22" s="305" t="str">
        <f>IF(COUNTBLANK(J19:J25)&gt;5,"",IF(J19&gt;J25,I19,I25))</f>
        <v/>
      </c>
      <c r="M22" s="284"/>
      <c r="N22" s="297"/>
      <c r="O22" s="296"/>
    </row>
    <row r="23" spans="1:17" x14ac:dyDescent="0.2">
      <c r="A23" s="273" t="s">
        <v>531</v>
      </c>
      <c r="B23" s="279"/>
      <c r="C23" s="210" t="str">
        <f>IF(B23="","",VLOOKUP(B23,prezentace!A$2:E$200,5))</f>
        <v/>
      </c>
      <c r="D23" s="283"/>
      <c r="E23" s="297"/>
      <c r="F23" s="296"/>
      <c r="G23" s="285"/>
      <c r="H23" s="297"/>
      <c r="I23" s="296"/>
      <c r="J23" s="287"/>
      <c r="K23" s="297"/>
      <c r="L23" s="296"/>
      <c r="M23" s="291"/>
      <c r="N23" s="308"/>
      <c r="O23" s="296"/>
    </row>
    <row r="24" spans="1:17" x14ac:dyDescent="0.2">
      <c r="A24" s="277" t="s">
        <v>519</v>
      </c>
      <c r="B24" s="280"/>
      <c r="C24" s="212" t="str">
        <f>IF(B24="","",VLOOKUP(B24,prezentace!A$2:E$200,5))</f>
        <v/>
      </c>
      <c r="D24" s="284"/>
      <c r="E24" s="292" t="s">
        <v>110</v>
      </c>
      <c r="F24" s="304" t="str">
        <f>IF(COUNTBLANK(D23:D24)&gt;0,"",IF(D23&gt;D24,C23,C24))</f>
        <v/>
      </c>
      <c r="G24" s="283"/>
      <c r="H24" s="328"/>
      <c r="I24" s="296"/>
      <c r="J24" s="287"/>
      <c r="K24" s="297"/>
      <c r="L24" s="296"/>
      <c r="M24" s="291"/>
      <c r="N24" s="308"/>
      <c r="O24" s="296"/>
      <c r="P24" s="274"/>
      <c r="Q24" s="275"/>
    </row>
    <row r="25" spans="1:17" x14ac:dyDescent="0.2">
      <c r="A25" s="213"/>
      <c r="B25" s="281"/>
      <c r="C25" s="211"/>
      <c r="D25" s="285"/>
      <c r="E25" s="297"/>
      <c r="F25" s="296"/>
      <c r="G25" s="287"/>
      <c r="H25" s="329" t="s">
        <v>315</v>
      </c>
      <c r="I25" s="305" t="str">
        <f>IF(COUNTBLANK(G24:G26)&gt;1,"",IF(G24&gt;G26,F24,F26))</f>
        <v/>
      </c>
      <c r="J25" s="284"/>
      <c r="K25" s="297"/>
      <c r="L25" s="303"/>
      <c r="M25" s="291"/>
      <c r="N25" s="308"/>
      <c r="O25" s="296"/>
      <c r="P25" s="274"/>
    </row>
    <row r="26" spans="1:17" x14ac:dyDescent="0.2">
      <c r="A26" s="273" t="s">
        <v>600</v>
      </c>
      <c r="B26" s="279"/>
      <c r="C26" s="210" t="str">
        <f>IF(B26="","",VLOOKUP(B26,prezentace!A$2:E$200,5))</f>
        <v/>
      </c>
      <c r="D26" s="283"/>
      <c r="E26" s="293" t="s">
        <v>110</v>
      </c>
      <c r="F26" s="305" t="str">
        <f>IF(COUNTBLANK(D26:D27)&gt;0,"",IF(D26&gt;D27,C26,C27))</f>
        <v/>
      </c>
      <c r="G26" s="284"/>
      <c r="H26" s="297"/>
      <c r="I26" s="296"/>
      <c r="J26" s="285"/>
      <c r="K26" s="297"/>
      <c r="L26" s="296"/>
      <c r="M26" s="291"/>
      <c r="N26" s="308"/>
      <c r="O26" s="296"/>
      <c r="P26" s="274"/>
    </row>
    <row r="27" spans="1:17" x14ac:dyDescent="0.2">
      <c r="A27" s="277" t="s">
        <v>524</v>
      </c>
      <c r="B27" s="280"/>
      <c r="C27" s="212" t="str">
        <f>IF(B27="","",VLOOKUP(B27,prezentace!A$2:E$200,5))</f>
        <v/>
      </c>
      <c r="D27" s="284"/>
      <c r="E27" s="297"/>
      <c r="F27" s="296"/>
      <c r="G27" s="285"/>
      <c r="H27" s="297"/>
      <c r="I27" s="296"/>
      <c r="J27" s="294"/>
      <c r="K27" s="297"/>
      <c r="L27" s="296"/>
      <c r="M27" s="291"/>
      <c r="N27" s="308"/>
      <c r="O27" s="296"/>
      <c r="P27" s="274"/>
    </row>
    <row r="28" spans="1:17" x14ac:dyDescent="0.2">
      <c r="A28" s="276"/>
      <c r="B28" s="216"/>
      <c r="C28" s="217"/>
      <c r="D28" s="286"/>
      <c r="E28" s="306"/>
      <c r="F28" s="307"/>
      <c r="G28" s="288"/>
      <c r="H28" s="301"/>
      <c r="I28" s="302"/>
      <c r="J28" s="294"/>
      <c r="K28" s="297"/>
      <c r="L28" s="303"/>
      <c r="M28" s="291"/>
      <c r="N28" s="308"/>
      <c r="O28" s="296"/>
      <c r="P28" s="274"/>
    </row>
    <row r="29" spans="1:17" x14ac:dyDescent="0.2">
      <c r="D29" s="294"/>
      <c r="E29" s="300"/>
      <c r="F29" s="300"/>
      <c r="G29" s="294"/>
      <c r="H29" s="300"/>
      <c r="I29" s="300"/>
      <c r="J29" s="294"/>
      <c r="K29" s="300"/>
      <c r="L29" s="300"/>
      <c r="M29" s="294"/>
      <c r="N29" s="300"/>
      <c r="O29" s="300"/>
    </row>
  </sheetData>
  <mergeCells count="7">
    <mergeCell ref="A1:O1"/>
    <mergeCell ref="A2:O2"/>
    <mergeCell ref="A4:D4"/>
    <mergeCell ref="E4:G4"/>
    <mergeCell ref="H4:J4"/>
    <mergeCell ref="K4:M4"/>
    <mergeCell ref="N4:O4"/>
  </mergeCells>
  <pageMargins left="0.78740157480314965" right="0.39370078740157483" top="0.39370078740157483" bottom="0" header="0.31496062992125984" footer="0.31496062992125984"/>
  <pageSetup paperSize="9" scale="8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9FFC-D1E6-48E1-A509-7B9AB173BC1A}">
  <dimension ref="A1:S43"/>
  <sheetViews>
    <sheetView showGridLines="0" view="pageBreakPreview" zoomScaleNormal="100" zoomScaleSheetLayoutView="100" workbookViewId="0">
      <selection activeCell="A2" sqref="A2:O2"/>
    </sheetView>
  </sheetViews>
  <sheetFormatPr defaultRowHeight="12.75" x14ac:dyDescent="0.2"/>
  <cols>
    <col min="1" max="1" width="6.85546875" style="102" customWidth="1"/>
    <col min="2" max="2" width="5.5703125" style="102" bestFit="1" customWidth="1"/>
    <col min="3" max="4" width="23.85546875" style="89" customWidth="1"/>
    <col min="5" max="9" width="6.5703125" style="90" customWidth="1"/>
    <col min="10" max="10" width="9.42578125" style="88" customWidth="1"/>
    <col min="11" max="11" width="5.42578125" style="106" bestFit="1" customWidth="1"/>
    <col min="12" max="12" width="21.140625" style="106" customWidth="1"/>
    <col min="13" max="13" width="15" style="106" customWidth="1"/>
    <col min="14" max="14" width="15" style="90" customWidth="1"/>
    <col min="15" max="15" width="27.140625" style="90" bestFit="1" customWidth="1"/>
    <col min="16" max="18" width="5.7109375" style="90" bestFit="1" customWidth="1"/>
    <col min="19" max="19" width="8.140625" style="88" bestFit="1" customWidth="1"/>
    <col min="20" max="16384" width="9.140625" style="90"/>
  </cols>
  <sheetData>
    <row r="1" spans="1:19" ht="14.45" customHeight="1" x14ac:dyDescent="0.2">
      <c r="A1" s="103" t="s">
        <v>53</v>
      </c>
      <c r="B1" s="100" t="s">
        <v>60</v>
      </c>
      <c r="C1" s="94" t="s">
        <v>96</v>
      </c>
      <c r="D1" s="94" t="s">
        <v>97</v>
      </c>
      <c r="E1" s="93" t="s">
        <v>162</v>
      </c>
      <c r="F1" s="93" t="s">
        <v>163</v>
      </c>
      <c r="G1" s="93" t="s">
        <v>164</v>
      </c>
      <c r="H1" s="93" t="s">
        <v>221</v>
      </c>
      <c r="I1" s="93" t="s">
        <v>220</v>
      </c>
      <c r="J1" s="226" t="s">
        <v>161</v>
      </c>
    </row>
    <row r="2" spans="1:19" ht="23.25" x14ac:dyDescent="0.2">
      <c r="A2" s="317" t="s">
        <v>379</v>
      </c>
      <c r="B2" s="101"/>
      <c r="C2" s="99"/>
      <c r="D2" s="99"/>
      <c r="E2" s="225"/>
      <c r="F2" s="96"/>
      <c r="G2" s="96"/>
      <c r="H2" s="96"/>
      <c r="I2" s="96"/>
      <c r="J2" s="113"/>
    </row>
    <row r="3" spans="1:19" ht="24" thickBot="1" x14ac:dyDescent="0.25">
      <c r="A3" s="429" t="s">
        <v>165</v>
      </c>
      <c r="B3" s="430"/>
      <c r="C3" s="98"/>
      <c r="D3" s="92" t="s">
        <v>166</v>
      </c>
      <c r="E3" s="431"/>
      <c r="F3" s="431"/>
      <c r="G3" s="431"/>
      <c r="H3" s="431"/>
      <c r="I3" s="431"/>
      <c r="J3" s="432"/>
    </row>
    <row r="4" spans="1:19" ht="13.5" thickBot="1" x14ac:dyDescent="0.25"/>
    <row r="5" spans="1:19" ht="14.45" customHeight="1" x14ac:dyDescent="0.2">
      <c r="A5" s="103" t="s">
        <v>53</v>
      </c>
      <c r="B5" s="100" t="s">
        <v>60</v>
      </c>
      <c r="C5" s="94" t="s">
        <v>96</v>
      </c>
      <c r="D5" s="94" t="s">
        <v>97</v>
      </c>
      <c r="E5" s="93" t="s">
        <v>162</v>
      </c>
      <c r="F5" s="93" t="s">
        <v>163</v>
      </c>
      <c r="G5" s="93" t="s">
        <v>164</v>
      </c>
      <c r="H5" s="93" t="s">
        <v>221</v>
      </c>
      <c r="I5" s="93" t="s">
        <v>220</v>
      </c>
      <c r="J5" s="226" t="s">
        <v>161</v>
      </c>
    </row>
    <row r="6" spans="1:19" ht="23.25" x14ac:dyDescent="0.2">
      <c r="A6" s="317" t="s">
        <v>379</v>
      </c>
      <c r="B6" s="101"/>
      <c r="C6" s="99"/>
      <c r="D6" s="99"/>
      <c r="E6" s="96"/>
      <c r="F6" s="96"/>
      <c r="G6" s="96"/>
      <c r="H6" s="96"/>
      <c r="I6" s="96"/>
      <c r="J6" s="113"/>
      <c r="N6" s="227"/>
    </row>
    <row r="7" spans="1:19" ht="24" thickBot="1" x14ac:dyDescent="0.25">
      <c r="A7" s="429" t="s">
        <v>165</v>
      </c>
      <c r="B7" s="430"/>
      <c r="C7" s="98"/>
      <c r="D7" s="92" t="s">
        <v>166</v>
      </c>
      <c r="E7" s="431"/>
      <c r="F7" s="431"/>
      <c r="G7" s="431"/>
      <c r="H7" s="431"/>
      <c r="I7" s="431"/>
      <c r="J7" s="432"/>
    </row>
    <row r="8" spans="1:19" ht="12" customHeight="1" thickBot="1" x14ac:dyDescent="0.25">
      <c r="A8" s="105"/>
    </row>
    <row r="9" spans="1:19" ht="14.45" customHeight="1" x14ac:dyDescent="0.2">
      <c r="A9" s="103" t="s">
        <v>53</v>
      </c>
      <c r="B9" s="100" t="s">
        <v>60</v>
      </c>
      <c r="C9" s="94" t="s">
        <v>96</v>
      </c>
      <c r="D9" s="94" t="s">
        <v>97</v>
      </c>
      <c r="E9" s="93" t="s">
        <v>162</v>
      </c>
      <c r="F9" s="93" t="s">
        <v>163</v>
      </c>
      <c r="G9" s="93" t="s">
        <v>164</v>
      </c>
      <c r="H9" s="93" t="s">
        <v>221</v>
      </c>
      <c r="I9" s="93" t="s">
        <v>220</v>
      </c>
      <c r="J9" s="226" t="s">
        <v>161</v>
      </c>
    </row>
    <row r="10" spans="1:19" ht="23.25" x14ac:dyDescent="0.2">
      <c r="A10" s="317" t="s">
        <v>379</v>
      </c>
      <c r="B10" s="101"/>
      <c r="C10" s="99"/>
      <c r="D10" s="99"/>
      <c r="E10" s="96"/>
      <c r="F10" s="96"/>
      <c r="G10" s="96"/>
      <c r="H10" s="96"/>
      <c r="I10" s="96"/>
      <c r="J10" s="113"/>
    </row>
    <row r="11" spans="1:19" ht="24" thickBot="1" x14ac:dyDescent="0.25">
      <c r="A11" s="429" t="s">
        <v>165</v>
      </c>
      <c r="B11" s="430"/>
      <c r="C11" s="98"/>
      <c r="D11" s="92" t="s">
        <v>166</v>
      </c>
      <c r="E11" s="431"/>
      <c r="F11" s="431"/>
      <c r="G11" s="431"/>
      <c r="H11" s="431"/>
      <c r="I11" s="431"/>
      <c r="J11" s="432"/>
    </row>
    <row r="12" spans="1:19" ht="12" customHeight="1" thickBot="1" x14ac:dyDescent="0.25"/>
    <row r="13" spans="1:19" ht="14.45" customHeight="1" x14ac:dyDescent="0.2">
      <c r="A13" s="103" t="s">
        <v>53</v>
      </c>
      <c r="B13" s="100" t="s">
        <v>60</v>
      </c>
      <c r="C13" s="94" t="s">
        <v>96</v>
      </c>
      <c r="D13" s="94" t="s">
        <v>97</v>
      </c>
      <c r="E13" s="93" t="s">
        <v>162</v>
      </c>
      <c r="F13" s="93" t="s">
        <v>163</v>
      </c>
      <c r="G13" s="93" t="s">
        <v>164</v>
      </c>
      <c r="H13" s="93" t="s">
        <v>221</v>
      </c>
      <c r="I13" s="93" t="s">
        <v>220</v>
      </c>
      <c r="J13" s="226" t="s">
        <v>161</v>
      </c>
    </row>
    <row r="14" spans="1:19" ht="23.25" x14ac:dyDescent="0.2">
      <c r="A14" s="317" t="s">
        <v>379</v>
      </c>
      <c r="B14" s="101"/>
      <c r="C14" s="99"/>
      <c r="D14" s="99"/>
      <c r="E14" s="96"/>
      <c r="F14" s="96"/>
      <c r="G14" s="96"/>
      <c r="H14" s="96"/>
      <c r="I14" s="96"/>
      <c r="J14" s="113"/>
    </row>
    <row r="15" spans="1:19" ht="24" thickBot="1" x14ac:dyDescent="0.25">
      <c r="A15" s="429" t="s">
        <v>165</v>
      </c>
      <c r="B15" s="430"/>
      <c r="C15" s="98"/>
      <c r="D15" s="92" t="s">
        <v>166</v>
      </c>
      <c r="E15" s="431"/>
      <c r="F15" s="431"/>
      <c r="G15" s="431"/>
      <c r="H15" s="431"/>
      <c r="I15" s="431"/>
      <c r="J15" s="432"/>
    </row>
    <row r="16" spans="1:19" s="106" customFormat="1" ht="13.5" thickBot="1" x14ac:dyDescent="0.25">
      <c r="A16" s="105"/>
      <c r="B16" s="102"/>
      <c r="C16" s="89"/>
      <c r="D16" s="89"/>
      <c r="E16" s="90"/>
      <c r="F16" s="90"/>
      <c r="G16" s="90"/>
      <c r="H16" s="90"/>
      <c r="I16" s="90"/>
      <c r="J16" s="88"/>
      <c r="N16" s="90"/>
      <c r="O16" s="90"/>
      <c r="P16" s="90"/>
      <c r="Q16" s="90"/>
      <c r="R16" s="90"/>
      <c r="S16" s="88"/>
    </row>
    <row r="17" spans="1:19" s="106" customFormat="1" x14ac:dyDescent="0.2">
      <c r="A17" s="103" t="s">
        <v>53</v>
      </c>
      <c r="B17" s="100" t="s">
        <v>60</v>
      </c>
      <c r="C17" s="94" t="s">
        <v>96</v>
      </c>
      <c r="D17" s="94" t="s">
        <v>97</v>
      </c>
      <c r="E17" s="93" t="s">
        <v>162</v>
      </c>
      <c r="F17" s="93" t="s">
        <v>163</v>
      </c>
      <c r="G17" s="93" t="s">
        <v>164</v>
      </c>
      <c r="H17" s="93" t="s">
        <v>221</v>
      </c>
      <c r="I17" s="93" t="s">
        <v>220</v>
      </c>
      <c r="J17" s="226" t="s">
        <v>161</v>
      </c>
      <c r="N17" s="90"/>
      <c r="O17" s="90"/>
      <c r="P17" s="90"/>
      <c r="Q17" s="90"/>
      <c r="R17" s="90"/>
      <c r="S17" s="88"/>
    </row>
    <row r="18" spans="1:19" s="106" customFormat="1" ht="23.25" x14ac:dyDescent="0.2">
      <c r="A18" s="317" t="str">
        <f>'A-12H-pavouk'!E8</f>
        <v>1-8</v>
      </c>
      <c r="B18" s="101"/>
      <c r="C18" s="99"/>
      <c r="D18" s="99"/>
      <c r="E18" s="96"/>
      <c r="F18" s="96"/>
      <c r="G18" s="96"/>
      <c r="H18" s="96"/>
      <c r="I18" s="96"/>
      <c r="J18" s="113"/>
      <c r="N18" s="90"/>
      <c r="O18" s="90"/>
      <c r="P18" s="90"/>
      <c r="Q18" s="90"/>
      <c r="R18" s="90"/>
      <c r="S18" s="88"/>
    </row>
    <row r="19" spans="1:19" s="106" customFormat="1" ht="24" thickBot="1" x14ac:dyDescent="0.25">
      <c r="A19" s="429" t="s">
        <v>165</v>
      </c>
      <c r="B19" s="430"/>
      <c r="C19" s="98"/>
      <c r="D19" s="92" t="s">
        <v>166</v>
      </c>
      <c r="E19" s="431"/>
      <c r="F19" s="431"/>
      <c r="G19" s="431"/>
      <c r="H19" s="431"/>
      <c r="I19" s="431"/>
      <c r="J19" s="432"/>
      <c r="N19" s="90"/>
      <c r="O19" s="90"/>
      <c r="P19" s="90"/>
      <c r="Q19" s="90"/>
      <c r="R19" s="90"/>
      <c r="S19" s="88"/>
    </row>
    <row r="20" spans="1:19" s="106" customFormat="1" ht="13.5" thickBot="1" x14ac:dyDescent="0.25">
      <c r="A20" s="105"/>
      <c r="B20" s="102"/>
      <c r="C20" s="89"/>
      <c r="D20" s="89"/>
      <c r="E20" s="90"/>
      <c r="F20" s="90"/>
      <c r="G20" s="90"/>
      <c r="H20" s="90"/>
      <c r="I20" s="90"/>
      <c r="J20" s="88"/>
      <c r="N20" s="90"/>
      <c r="O20" s="90"/>
      <c r="P20" s="90"/>
      <c r="Q20" s="90"/>
      <c r="R20" s="90"/>
      <c r="S20" s="88"/>
    </row>
    <row r="21" spans="1:19" s="106" customFormat="1" x14ac:dyDescent="0.2">
      <c r="A21" s="103" t="s">
        <v>53</v>
      </c>
      <c r="B21" s="100" t="s">
        <v>60</v>
      </c>
      <c r="C21" s="94" t="s">
        <v>96</v>
      </c>
      <c r="D21" s="94" t="s">
        <v>97</v>
      </c>
      <c r="E21" s="93" t="s">
        <v>162</v>
      </c>
      <c r="F21" s="93" t="s">
        <v>163</v>
      </c>
      <c r="G21" s="93" t="s">
        <v>164</v>
      </c>
      <c r="H21" s="93" t="s">
        <v>221</v>
      </c>
      <c r="I21" s="93" t="s">
        <v>220</v>
      </c>
      <c r="J21" s="226" t="s">
        <v>161</v>
      </c>
      <c r="N21" s="90"/>
      <c r="O21" s="90"/>
      <c r="P21" s="90"/>
      <c r="Q21" s="90"/>
      <c r="R21" s="90"/>
      <c r="S21" s="88"/>
    </row>
    <row r="22" spans="1:19" s="106" customFormat="1" ht="23.25" x14ac:dyDescent="0.2">
      <c r="A22" s="317" t="str">
        <f>'A-12H-pavouk'!E12</f>
        <v>1-8</v>
      </c>
      <c r="B22" s="101"/>
      <c r="C22" s="99"/>
      <c r="D22" s="99"/>
      <c r="E22" s="96"/>
      <c r="F22" s="96"/>
      <c r="G22" s="96"/>
      <c r="H22" s="96"/>
      <c r="I22" s="96"/>
      <c r="J22" s="113"/>
      <c r="N22" s="90"/>
      <c r="O22" s="90"/>
      <c r="P22" s="90"/>
      <c r="Q22" s="90"/>
      <c r="R22" s="90"/>
      <c r="S22" s="88"/>
    </row>
    <row r="23" spans="1:19" s="106" customFormat="1" ht="24" thickBot="1" x14ac:dyDescent="0.25">
      <c r="A23" s="429" t="s">
        <v>165</v>
      </c>
      <c r="B23" s="430"/>
      <c r="C23" s="98"/>
      <c r="D23" s="92" t="s">
        <v>166</v>
      </c>
      <c r="E23" s="431"/>
      <c r="F23" s="431"/>
      <c r="G23" s="431"/>
      <c r="H23" s="431"/>
      <c r="I23" s="431"/>
      <c r="J23" s="432"/>
      <c r="N23" s="90"/>
      <c r="O23" s="90"/>
      <c r="P23" s="90"/>
      <c r="Q23" s="90"/>
      <c r="R23" s="90"/>
      <c r="S23" s="88"/>
    </row>
    <row r="24" spans="1:19" s="106" customFormat="1" ht="13.5" thickBot="1" x14ac:dyDescent="0.25">
      <c r="A24" s="105"/>
      <c r="B24" s="102"/>
      <c r="C24" s="89"/>
      <c r="D24" s="89"/>
      <c r="E24" s="90"/>
      <c r="F24" s="90"/>
      <c r="G24" s="90"/>
      <c r="H24" s="90"/>
      <c r="I24" s="90"/>
      <c r="J24" s="88"/>
      <c r="N24" s="90"/>
      <c r="O24" s="90"/>
      <c r="P24" s="90"/>
      <c r="Q24" s="90"/>
      <c r="R24" s="90"/>
      <c r="S24" s="88"/>
    </row>
    <row r="25" spans="1:19" s="106" customFormat="1" x14ac:dyDescent="0.2">
      <c r="A25" s="103" t="s">
        <v>53</v>
      </c>
      <c r="B25" s="100" t="s">
        <v>60</v>
      </c>
      <c r="C25" s="94" t="s">
        <v>96</v>
      </c>
      <c r="D25" s="94" t="s">
        <v>97</v>
      </c>
      <c r="E25" s="93" t="s">
        <v>162</v>
      </c>
      <c r="F25" s="93" t="s">
        <v>163</v>
      </c>
      <c r="G25" s="93" t="s">
        <v>164</v>
      </c>
      <c r="H25" s="93" t="s">
        <v>221</v>
      </c>
      <c r="I25" s="93" t="s">
        <v>220</v>
      </c>
      <c r="J25" s="226" t="s">
        <v>161</v>
      </c>
      <c r="N25" s="90"/>
      <c r="O25" s="90"/>
      <c r="P25" s="90"/>
      <c r="Q25" s="90"/>
      <c r="R25" s="90"/>
      <c r="S25" s="88"/>
    </row>
    <row r="26" spans="1:19" s="106" customFormat="1" ht="23.25" x14ac:dyDescent="0.2">
      <c r="A26" s="317" t="str">
        <f>'A-12H-pavouk'!E18</f>
        <v>1-8</v>
      </c>
      <c r="B26" s="101"/>
      <c r="C26" s="99"/>
      <c r="D26" s="99"/>
      <c r="E26" s="96"/>
      <c r="F26" s="96"/>
      <c r="G26" s="96"/>
      <c r="H26" s="96"/>
      <c r="I26" s="96"/>
      <c r="J26" s="113"/>
      <c r="N26" s="90"/>
      <c r="O26" s="90"/>
      <c r="P26" s="90"/>
      <c r="Q26" s="90"/>
      <c r="R26" s="90"/>
      <c r="S26" s="88"/>
    </row>
    <row r="27" spans="1:19" s="106" customFormat="1" ht="24" thickBot="1" x14ac:dyDescent="0.25">
      <c r="A27" s="429" t="s">
        <v>165</v>
      </c>
      <c r="B27" s="430"/>
      <c r="C27" s="98"/>
      <c r="D27" s="92" t="s">
        <v>166</v>
      </c>
      <c r="E27" s="431"/>
      <c r="F27" s="431"/>
      <c r="G27" s="431"/>
      <c r="H27" s="431"/>
      <c r="I27" s="431"/>
      <c r="J27" s="432"/>
      <c r="N27" s="90"/>
      <c r="O27" s="90"/>
      <c r="P27" s="90"/>
      <c r="Q27" s="90"/>
      <c r="R27" s="90"/>
      <c r="S27" s="88"/>
    </row>
    <row r="28" spans="1:19" s="106" customFormat="1" ht="13.5" thickBot="1" x14ac:dyDescent="0.25">
      <c r="A28" s="105"/>
      <c r="B28" s="102"/>
      <c r="C28" s="89"/>
      <c r="D28" s="89"/>
      <c r="E28" s="90"/>
      <c r="F28" s="90"/>
      <c r="G28" s="90"/>
      <c r="H28" s="90"/>
      <c r="I28" s="90"/>
      <c r="J28" s="88"/>
      <c r="N28" s="90"/>
      <c r="O28" s="90"/>
      <c r="P28" s="90"/>
      <c r="Q28" s="90"/>
      <c r="R28" s="90"/>
      <c r="S28" s="88"/>
    </row>
    <row r="29" spans="1:19" s="106" customFormat="1" x14ac:dyDescent="0.2">
      <c r="A29" s="103" t="s">
        <v>53</v>
      </c>
      <c r="B29" s="100" t="s">
        <v>60</v>
      </c>
      <c r="C29" s="94" t="s">
        <v>96</v>
      </c>
      <c r="D29" s="94" t="s">
        <v>97</v>
      </c>
      <c r="E29" s="93" t="s">
        <v>162</v>
      </c>
      <c r="F29" s="93" t="s">
        <v>163</v>
      </c>
      <c r="G29" s="93" t="s">
        <v>164</v>
      </c>
      <c r="H29" s="93" t="s">
        <v>221</v>
      </c>
      <c r="I29" s="93" t="s">
        <v>220</v>
      </c>
      <c r="J29" s="226" t="s">
        <v>161</v>
      </c>
      <c r="N29" s="90"/>
      <c r="O29" s="90"/>
      <c r="P29" s="90"/>
      <c r="Q29" s="90"/>
      <c r="R29" s="90"/>
      <c r="S29" s="88"/>
    </row>
    <row r="30" spans="1:19" s="106" customFormat="1" ht="23.25" x14ac:dyDescent="0.2">
      <c r="A30" s="317" t="str">
        <f>'A-12H-pavouk'!E24</f>
        <v>1-8</v>
      </c>
      <c r="B30" s="101"/>
      <c r="C30" s="99"/>
      <c r="D30" s="99"/>
      <c r="E30" s="96"/>
      <c r="F30" s="96"/>
      <c r="G30" s="96"/>
      <c r="H30" s="96"/>
      <c r="I30" s="96"/>
      <c r="J30" s="113"/>
      <c r="N30" s="90"/>
      <c r="O30" s="90"/>
      <c r="P30" s="90"/>
      <c r="Q30" s="90"/>
      <c r="R30" s="90"/>
      <c r="S30" s="88"/>
    </row>
    <row r="31" spans="1:19" s="106" customFormat="1" ht="24" thickBot="1" x14ac:dyDescent="0.25">
      <c r="A31" s="429" t="s">
        <v>165</v>
      </c>
      <c r="B31" s="430"/>
      <c r="C31" s="98"/>
      <c r="D31" s="92" t="s">
        <v>166</v>
      </c>
      <c r="E31" s="431"/>
      <c r="F31" s="431"/>
      <c r="G31" s="431"/>
      <c r="H31" s="431"/>
      <c r="I31" s="431"/>
      <c r="J31" s="432"/>
      <c r="N31" s="90"/>
      <c r="O31" s="90"/>
      <c r="P31" s="90"/>
      <c r="Q31" s="90"/>
      <c r="R31" s="90"/>
      <c r="S31" s="88"/>
    </row>
    <row r="32" spans="1:19" s="106" customFormat="1" ht="13.5" thickBot="1" x14ac:dyDescent="0.25">
      <c r="A32" s="102"/>
      <c r="B32" s="102"/>
      <c r="C32" s="89"/>
      <c r="D32" s="89"/>
      <c r="E32" s="90"/>
      <c r="F32" s="90"/>
      <c r="G32" s="90"/>
      <c r="H32" s="90"/>
      <c r="I32" s="90"/>
      <c r="J32" s="88"/>
      <c r="N32" s="90"/>
      <c r="O32" s="90"/>
      <c r="P32" s="90"/>
      <c r="Q32" s="90"/>
      <c r="R32" s="90"/>
      <c r="S32" s="88"/>
    </row>
    <row r="33" spans="1:19" s="106" customFormat="1" x14ac:dyDescent="0.2">
      <c r="A33" s="103" t="s">
        <v>53</v>
      </c>
      <c r="B33" s="100" t="s">
        <v>60</v>
      </c>
      <c r="C33" s="94" t="s">
        <v>96</v>
      </c>
      <c r="D33" s="94" t="s">
        <v>97</v>
      </c>
      <c r="E33" s="93" t="s">
        <v>162</v>
      </c>
      <c r="F33" s="93" t="s">
        <v>163</v>
      </c>
      <c r="G33" s="93" t="s">
        <v>164</v>
      </c>
      <c r="H33" s="93" t="s">
        <v>221</v>
      </c>
      <c r="I33" s="93" t="s">
        <v>220</v>
      </c>
      <c r="J33" s="226" t="s">
        <v>161</v>
      </c>
      <c r="N33" s="90"/>
      <c r="O33" s="90"/>
      <c r="P33" s="90"/>
      <c r="Q33" s="90"/>
      <c r="R33" s="90"/>
      <c r="S33" s="88"/>
    </row>
    <row r="34" spans="1:19" s="106" customFormat="1" ht="23.25" x14ac:dyDescent="0.2">
      <c r="A34" s="317" t="str">
        <f>'A-12H-pavouk'!H7</f>
        <v>1-4</v>
      </c>
      <c r="B34" s="101"/>
      <c r="C34" s="99"/>
      <c r="D34" s="99"/>
      <c r="E34" s="96"/>
      <c r="F34" s="96"/>
      <c r="G34" s="96"/>
      <c r="H34" s="96"/>
      <c r="I34" s="96"/>
      <c r="J34" s="113"/>
      <c r="N34" s="90"/>
      <c r="O34" s="90"/>
      <c r="P34" s="90"/>
      <c r="Q34" s="90"/>
      <c r="R34" s="90"/>
      <c r="S34" s="88"/>
    </row>
    <row r="35" spans="1:19" s="106" customFormat="1" ht="24" thickBot="1" x14ac:dyDescent="0.25">
      <c r="A35" s="429" t="s">
        <v>165</v>
      </c>
      <c r="B35" s="430"/>
      <c r="C35" s="98"/>
      <c r="D35" s="92" t="s">
        <v>166</v>
      </c>
      <c r="E35" s="431"/>
      <c r="F35" s="431"/>
      <c r="G35" s="431"/>
      <c r="H35" s="431"/>
      <c r="I35" s="431"/>
      <c r="J35" s="432"/>
      <c r="N35" s="90"/>
      <c r="O35" s="90"/>
      <c r="P35" s="90"/>
      <c r="Q35" s="90"/>
      <c r="R35" s="90"/>
      <c r="S35" s="88"/>
    </row>
    <row r="36" spans="1:19" s="106" customFormat="1" ht="13.5" thickBot="1" x14ac:dyDescent="0.25">
      <c r="A36" s="105"/>
      <c r="B36" s="102"/>
      <c r="C36" s="89"/>
      <c r="D36" s="89"/>
      <c r="E36" s="90"/>
      <c r="F36" s="90"/>
      <c r="G36" s="90"/>
      <c r="H36" s="90"/>
      <c r="I36" s="90"/>
      <c r="J36" s="88"/>
      <c r="N36" s="90"/>
      <c r="O36" s="90"/>
      <c r="P36" s="90"/>
      <c r="Q36" s="90"/>
      <c r="R36" s="90"/>
      <c r="S36" s="88"/>
    </row>
    <row r="37" spans="1:19" s="106" customFormat="1" x14ac:dyDescent="0.2">
      <c r="A37" s="103" t="s">
        <v>53</v>
      </c>
      <c r="B37" s="100" t="s">
        <v>60</v>
      </c>
      <c r="C37" s="94" t="s">
        <v>96</v>
      </c>
      <c r="D37" s="94" t="s">
        <v>97</v>
      </c>
      <c r="E37" s="93" t="s">
        <v>162</v>
      </c>
      <c r="F37" s="93" t="s">
        <v>163</v>
      </c>
      <c r="G37" s="93" t="s">
        <v>164</v>
      </c>
      <c r="H37" s="93" t="s">
        <v>221</v>
      </c>
      <c r="I37" s="93" t="s">
        <v>220</v>
      </c>
      <c r="J37" s="226" t="s">
        <v>161</v>
      </c>
      <c r="N37" s="90"/>
      <c r="O37" s="90"/>
      <c r="P37" s="90"/>
      <c r="Q37" s="90"/>
      <c r="R37" s="90"/>
      <c r="S37" s="88"/>
    </row>
    <row r="38" spans="1:19" s="106" customFormat="1" ht="23.25" x14ac:dyDescent="0.2">
      <c r="A38" s="317" t="str">
        <f>'A-12H-pavouk'!H19</f>
        <v>1-4</v>
      </c>
      <c r="B38" s="101"/>
      <c r="C38" s="99"/>
      <c r="D38" s="99"/>
      <c r="E38" s="225"/>
      <c r="F38" s="96"/>
      <c r="G38" s="96"/>
      <c r="H38" s="96"/>
      <c r="I38" s="96"/>
      <c r="J38" s="113"/>
      <c r="N38" s="90"/>
      <c r="O38" s="90"/>
      <c r="P38" s="90"/>
      <c r="Q38" s="90"/>
      <c r="R38" s="90"/>
      <c r="S38" s="88"/>
    </row>
    <row r="39" spans="1:19" s="106" customFormat="1" ht="24" thickBot="1" x14ac:dyDescent="0.25">
      <c r="A39" s="429" t="s">
        <v>165</v>
      </c>
      <c r="B39" s="430"/>
      <c r="C39" s="98"/>
      <c r="D39" s="92" t="s">
        <v>166</v>
      </c>
      <c r="E39" s="431"/>
      <c r="F39" s="431"/>
      <c r="G39" s="431"/>
      <c r="H39" s="431"/>
      <c r="I39" s="431"/>
      <c r="J39" s="432"/>
      <c r="N39" s="90"/>
      <c r="O39" s="90"/>
      <c r="P39" s="90"/>
      <c r="Q39" s="90"/>
      <c r="R39" s="90"/>
      <c r="S39" s="88"/>
    </row>
    <row r="40" spans="1:19" s="106" customFormat="1" ht="12" customHeight="1" thickBot="1" x14ac:dyDescent="0.25">
      <c r="A40" s="105"/>
      <c r="B40" s="102"/>
      <c r="C40" s="89"/>
      <c r="D40" s="89"/>
      <c r="E40" s="90"/>
      <c r="F40" s="90"/>
      <c r="G40" s="90"/>
      <c r="H40" s="90"/>
      <c r="I40" s="90"/>
      <c r="J40" s="88"/>
      <c r="N40" s="90"/>
      <c r="O40" s="90"/>
      <c r="P40" s="90"/>
      <c r="Q40" s="90"/>
      <c r="R40" s="90"/>
      <c r="S40" s="88"/>
    </row>
    <row r="41" spans="1:19" s="106" customFormat="1" x14ac:dyDescent="0.2">
      <c r="A41" s="103" t="s">
        <v>53</v>
      </c>
      <c r="B41" s="100" t="s">
        <v>60</v>
      </c>
      <c r="C41" s="94" t="s">
        <v>96</v>
      </c>
      <c r="D41" s="94" t="s">
        <v>97</v>
      </c>
      <c r="E41" s="93" t="s">
        <v>162</v>
      </c>
      <c r="F41" s="93" t="s">
        <v>163</v>
      </c>
      <c r="G41" s="93" t="s">
        <v>164</v>
      </c>
      <c r="H41" s="93" t="s">
        <v>221</v>
      </c>
      <c r="I41" s="93" t="s">
        <v>220</v>
      </c>
      <c r="J41" s="226" t="s">
        <v>161</v>
      </c>
      <c r="N41" s="90"/>
      <c r="O41" s="90"/>
      <c r="P41" s="90"/>
      <c r="Q41" s="90"/>
      <c r="R41" s="90"/>
      <c r="S41" s="88"/>
    </row>
    <row r="42" spans="1:19" s="106" customFormat="1" ht="23.25" x14ac:dyDescent="0.2">
      <c r="A42" s="317" t="str">
        <f>'A-12H-pavouk'!K10</f>
        <v>1-2</v>
      </c>
      <c r="B42" s="101"/>
      <c r="C42" s="99"/>
      <c r="D42" s="99"/>
      <c r="E42" s="225"/>
      <c r="F42" s="96"/>
      <c r="G42" s="96"/>
      <c r="H42" s="96"/>
      <c r="I42" s="96"/>
      <c r="J42" s="113"/>
      <c r="N42" s="90"/>
      <c r="O42" s="90"/>
      <c r="P42" s="90"/>
      <c r="Q42" s="90"/>
      <c r="R42" s="90"/>
      <c r="S42" s="88"/>
    </row>
    <row r="43" spans="1:19" s="106" customFormat="1" ht="24" thickBot="1" x14ac:dyDescent="0.25">
      <c r="A43" s="429" t="s">
        <v>165</v>
      </c>
      <c r="B43" s="430"/>
      <c r="C43" s="98"/>
      <c r="D43" s="92" t="s">
        <v>166</v>
      </c>
      <c r="E43" s="431"/>
      <c r="F43" s="431"/>
      <c r="G43" s="431"/>
      <c r="H43" s="431"/>
      <c r="I43" s="431"/>
      <c r="J43" s="432"/>
      <c r="N43" s="90"/>
      <c r="O43" s="90"/>
      <c r="P43" s="90"/>
      <c r="Q43" s="90"/>
      <c r="R43" s="90"/>
      <c r="S43" s="88"/>
    </row>
  </sheetData>
  <mergeCells count="22">
    <mergeCell ref="A35:B35"/>
    <mergeCell ref="E35:J35"/>
    <mergeCell ref="A39:B39"/>
    <mergeCell ref="E39:J39"/>
    <mergeCell ref="A43:B43"/>
    <mergeCell ref="E43:J43"/>
    <mergeCell ref="A23:B23"/>
    <mergeCell ref="E23:J23"/>
    <mergeCell ref="A27:B27"/>
    <mergeCell ref="E27:J27"/>
    <mergeCell ref="A31:B31"/>
    <mergeCell ref="E31:J31"/>
    <mergeCell ref="A19:B19"/>
    <mergeCell ref="E19:J19"/>
    <mergeCell ref="A15:B15"/>
    <mergeCell ref="E15:J15"/>
    <mergeCell ref="A3:B3"/>
    <mergeCell ref="E3:J3"/>
    <mergeCell ref="A7:B7"/>
    <mergeCell ref="E7:J7"/>
    <mergeCell ref="A11:B11"/>
    <mergeCell ref="E11:J11"/>
  </mergeCells>
  <printOptions horizontalCentered="1" verticalCentered="1"/>
  <pageMargins left="0.19685039370078741" right="0.19685039370078741" top="0.19685039370078741" bottom="0.19685039370078741" header="0" footer="0.51181102362204722"/>
  <pageSetup paperSize="9" scale="92" orientation="portrait" r:id="rId1"/>
  <headerFooter alignWithMargins="0">
    <oddHeader>&amp;C1. stupeň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5E66-168A-4831-A92B-79DAB85478B9}">
  <dimension ref="A1:Q29"/>
  <sheetViews>
    <sheetView view="pageBreakPreview" zoomScaleNormal="115" zoomScaleSheetLayoutView="100" workbookViewId="0">
      <pane ySplit="4" topLeftCell="A5" activePane="bottomLeft" state="frozen"/>
      <selection activeCell="A2" sqref="A2:O2"/>
      <selection pane="bottomLeft" activeCell="A2" sqref="A2:O2"/>
    </sheetView>
  </sheetViews>
  <sheetFormatPr defaultRowHeight="12.75" x14ac:dyDescent="0.2"/>
  <cols>
    <col min="1" max="1" width="4" bestFit="1" customWidth="1"/>
    <col min="2" max="2" width="5" bestFit="1" customWidth="1"/>
    <col min="3" max="3" width="24.7109375" customWidth="1"/>
    <col min="4" max="4" width="3.7109375" customWidth="1"/>
    <col min="5" max="5" width="5" bestFit="1" customWidth="1"/>
    <col min="6" max="6" width="24.7109375" customWidth="1"/>
    <col min="7" max="7" width="3.7109375" customWidth="1"/>
    <col min="8" max="8" width="5" bestFit="1" customWidth="1"/>
    <col min="9" max="9" width="24.7109375" customWidth="1"/>
    <col min="10" max="10" width="3.7109375" customWidth="1"/>
    <col min="11" max="11" width="5" bestFit="1" customWidth="1"/>
    <col min="12" max="12" width="24.7109375" customWidth="1"/>
    <col min="13" max="14" width="3.7109375" customWidth="1"/>
    <col min="15" max="15" width="24.7109375" customWidth="1"/>
    <col min="16" max="16" width="3.7109375" customWidth="1"/>
    <col min="17" max="17" width="24.7109375" customWidth="1"/>
    <col min="18" max="18" width="3.7109375" customWidth="1"/>
  </cols>
  <sheetData>
    <row r="1" spans="1:17" ht="15" x14ac:dyDescent="0.2">
      <c r="A1" s="433" t="s">
        <v>682</v>
      </c>
      <c r="B1" s="433"/>
      <c r="C1" s="433"/>
      <c r="D1" s="433"/>
      <c r="E1" s="433"/>
      <c r="F1" s="433"/>
      <c r="G1" s="433"/>
      <c r="H1" s="433"/>
      <c r="I1" s="433"/>
      <c r="J1" s="433"/>
      <c r="K1" s="433"/>
      <c r="L1" s="433"/>
      <c r="M1" s="433"/>
      <c r="N1" s="433"/>
      <c r="O1" s="433"/>
      <c r="P1" s="310"/>
      <c r="Q1" s="310"/>
    </row>
    <row r="2" spans="1:17" ht="15" x14ac:dyDescent="0.2">
      <c r="A2" s="433" t="s">
        <v>606</v>
      </c>
      <c r="B2" s="433"/>
      <c r="C2" s="433"/>
      <c r="D2" s="433"/>
      <c r="E2" s="433"/>
      <c r="F2" s="433"/>
      <c r="G2" s="433"/>
      <c r="H2" s="433"/>
      <c r="I2" s="433"/>
      <c r="J2" s="433"/>
      <c r="K2" s="433"/>
      <c r="L2" s="433"/>
      <c r="M2" s="433"/>
      <c r="N2" s="433"/>
      <c r="O2" s="433"/>
      <c r="P2" s="310"/>
      <c r="Q2" s="310"/>
    </row>
    <row r="3" spans="1:17" ht="15" x14ac:dyDescent="0.2">
      <c r="A3" s="325"/>
      <c r="B3" s="325"/>
      <c r="C3" s="325"/>
      <c r="D3" s="325"/>
      <c r="E3" s="325"/>
      <c r="F3" s="325"/>
      <c r="G3" s="325"/>
      <c r="H3" s="325"/>
      <c r="I3" s="325"/>
      <c r="J3" s="325"/>
      <c r="K3" s="325"/>
      <c r="L3" s="325"/>
      <c r="M3" s="325"/>
      <c r="N3" s="325"/>
      <c r="O3" s="325"/>
      <c r="P3" s="310"/>
      <c r="Q3" s="310"/>
    </row>
    <row r="4" spans="1:17" x14ac:dyDescent="0.2">
      <c r="A4" s="434" t="s">
        <v>223</v>
      </c>
      <c r="B4" s="434"/>
      <c r="C4" s="434"/>
      <c r="D4" s="434"/>
      <c r="E4" s="435" t="s">
        <v>226</v>
      </c>
      <c r="F4" s="435"/>
      <c r="G4" s="435"/>
      <c r="H4" s="435" t="s">
        <v>227</v>
      </c>
      <c r="I4" s="435"/>
      <c r="J4" s="435"/>
      <c r="K4" s="435" t="s">
        <v>225</v>
      </c>
      <c r="L4" s="435"/>
      <c r="M4" s="435"/>
      <c r="N4" s="435" t="s">
        <v>224</v>
      </c>
      <c r="O4" s="435"/>
      <c r="Q4" s="326"/>
    </row>
    <row r="5" spans="1:17" x14ac:dyDescent="0.2">
      <c r="A5" s="273" t="s">
        <v>520</v>
      </c>
      <c r="B5" s="279"/>
      <c r="C5" s="210" t="str">
        <f>IF(B5="","",VLOOKUP(B5,prezentace!A$2:E$200,5))</f>
        <v/>
      </c>
      <c r="D5" s="283"/>
      <c r="E5" s="297"/>
      <c r="F5" s="296"/>
      <c r="G5" s="285"/>
      <c r="H5" s="297"/>
      <c r="I5" s="296"/>
      <c r="J5" s="285"/>
      <c r="K5" s="297"/>
      <c r="L5" s="296"/>
      <c r="M5" s="291"/>
      <c r="N5" s="308"/>
      <c r="O5" s="296"/>
    </row>
    <row r="6" spans="1:17" x14ac:dyDescent="0.2">
      <c r="A6" s="277" t="s">
        <v>600</v>
      </c>
      <c r="B6" s="280"/>
      <c r="C6" s="212" t="str">
        <f>IF(B6="","",VLOOKUP(B6,prezentace!A$2:E$200,5))</f>
        <v/>
      </c>
      <c r="D6" s="284"/>
      <c r="E6" s="292" t="s">
        <v>612</v>
      </c>
      <c r="F6" s="304" t="str">
        <f>IF(COUNTBLANK(D5:D6)&gt;0,"",IF(D5&gt;D6,C5,C6))</f>
        <v/>
      </c>
      <c r="G6" s="283"/>
      <c r="H6" s="297"/>
      <c r="I6" s="296"/>
      <c r="J6" s="285"/>
      <c r="K6" s="297"/>
      <c r="L6" s="296"/>
      <c r="M6" s="291"/>
      <c r="N6" s="308"/>
      <c r="O6" s="296"/>
    </row>
    <row r="7" spans="1:17" x14ac:dyDescent="0.2">
      <c r="A7" s="213"/>
      <c r="B7" s="281"/>
      <c r="C7" s="211"/>
      <c r="D7" s="285"/>
      <c r="E7" s="297"/>
      <c r="F7" s="296"/>
      <c r="G7" s="287"/>
      <c r="H7" s="327" t="s">
        <v>309</v>
      </c>
      <c r="I7" s="304" t="str">
        <f>IF(COUNTBLANK(G6:G8)&gt;1,"",IF(G6&gt;G8,F6,F8))</f>
        <v/>
      </c>
      <c r="J7" s="283"/>
      <c r="K7" s="297"/>
      <c r="L7" s="296"/>
      <c r="M7" s="285"/>
      <c r="N7" s="297"/>
      <c r="O7" s="296"/>
    </row>
    <row r="8" spans="1:17" x14ac:dyDescent="0.2">
      <c r="A8" s="273" t="s">
        <v>527</v>
      </c>
      <c r="B8" s="279"/>
      <c r="C8" s="210" t="str">
        <f>IF(B8="","",VLOOKUP(B8,prezentace!A$2:E$200,5))</f>
        <v/>
      </c>
      <c r="D8" s="283"/>
      <c r="E8" s="329" t="s">
        <v>612</v>
      </c>
      <c r="F8" s="305" t="str">
        <f>IF(COUNTBLANK(D8:D9)&gt;0,"",IF(D8&gt;D9,C8,C9))</f>
        <v/>
      </c>
      <c r="G8" s="284"/>
      <c r="H8" s="328"/>
      <c r="I8" s="296"/>
      <c r="J8" s="287"/>
      <c r="K8" s="297"/>
      <c r="L8" s="296"/>
      <c r="M8" s="291"/>
      <c r="N8" s="308"/>
      <c r="O8" s="296"/>
    </row>
    <row r="9" spans="1:17" x14ac:dyDescent="0.2">
      <c r="A9" s="277" t="s">
        <v>539</v>
      </c>
      <c r="B9" s="280"/>
      <c r="C9" s="212" t="str">
        <f>IF(B9="","",VLOOKUP(B9,prezentace!A$2:E$200,5))</f>
        <v/>
      </c>
      <c r="D9" s="284"/>
      <c r="E9" s="297"/>
      <c r="F9" s="296"/>
      <c r="G9" s="285"/>
      <c r="H9" s="297"/>
      <c r="I9" s="296"/>
      <c r="J9" s="287"/>
      <c r="K9" s="297"/>
      <c r="L9" s="296"/>
      <c r="M9" s="291"/>
      <c r="N9" s="308"/>
      <c r="O9" s="296"/>
    </row>
    <row r="10" spans="1:17" x14ac:dyDescent="0.2">
      <c r="A10" s="213"/>
      <c r="B10" s="281"/>
      <c r="C10" s="211"/>
      <c r="D10" s="285"/>
      <c r="E10" s="297"/>
      <c r="F10" s="296"/>
      <c r="G10" s="285"/>
      <c r="H10" s="297"/>
      <c r="I10" s="296"/>
      <c r="J10" s="287"/>
      <c r="K10" s="327" t="s">
        <v>321</v>
      </c>
      <c r="L10" s="304" t="str">
        <f>IF(COUNTBLANK(J7:J13)&gt;5,"",IF(J7&gt;J13,I7,I13))</f>
        <v/>
      </c>
      <c r="M10" s="283"/>
      <c r="N10" s="297"/>
      <c r="O10" s="296"/>
    </row>
    <row r="11" spans="1:17" x14ac:dyDescent="0.2">
      <c r="A11" s="273" t="s">
        <v>607</v>
      </c>
      <c r="B11" s="279"/>
      <c r="C11" s="210" t="str">
        <f>IF(B11="","",VLOOKUP(B11,prezentace!A$2:E$200,5))</f>
        <v/>
      </c>
      <c r="D11" s="283"/>
      <c r="E11" s="297"/>
      <c r="F11" s="296"/>
      <c r="G11" s="285"/>
      <c r="H11" s="297"/>
      <c r="I11" s="296"/>
      <c r="J11" s="287"/>
      <c r="K11" s="328"/>
      <c r="L11" s="296"/>
      <c r="M11" s="289"/>
      <c r="N11" s="308"/>
      <c r="O11" s="296"/>
    </row>
    <row r="12" spans="1:17" x14ac:dyDescent="0.2">
      <c r="A12" s="277" t="s">
        <v>608</v>
      </c>
      <c r="B12" s="280"/>
      <c r="C12" s="212" t="str">
        <f>IF(B12="","",VLOOKUP(B12,prezentace!A$2:E$200,5))</f>
        <v/>
      </c>
      <c r="D12" s="284"/>
      <c r="E12" s="292" t="s">
        <v>612</v>
      </c>
      <c r="F12" s="304" t="str">
        <f>IF(COUNTBLANK(D11:D12)&gt;0,"",IF(D11&gt;D12,C11,C12))</f>
        <v/>
      </c>
      <c r="G12" s="283"/>
      <c r="H12" s="328"/>
      <c r="I12" s="296"/>
      <c r="J12" s="287"/>
      <c r="K12" s="297"/>
      <c r="L12" s="296"/>
      <c r="M12" s="289"/>
      <c r="N12" s="308"/>
      <c r="O12" s="296"/>
    </row>
    <row r="13" spans="1:17" x14ac:dyDescent="0.2">
      <c r="A13" s="213"/>
      <c r="B13" s="281"/>
      <c r="C13" s="211"/>
      <c r="D13" s="285"/>
      <c r="E13" s="297"/>
      <c r="F13" s="296"/>
      <c r="G13" s="287"/>
      <c r="H13" s="329" t="s">
        <v>309</v>
      </c>
      <c r="I13" s="305" t="str">
        <f>IF(COUNTBLANK(G12:G14)&gt;1,"",IF(G12&gt;G14,F12,F14))</f>
        <v/>
      </c>
      <c r="J13" s="284"/>
      <c r="K13" s="297"/>
      <c r="L13" s="303"/>
      <c r="M13" s="287"/>
      <c r="N13" s="297"/>
      <c r="O13" s="296"/>
    </row>
    <row r="14" spans="1:17" x14ac:dyDescent="0.2">
      <c r="A14" s="273" t="s">
        <v>600</v>
      </c>
      <c r="B14" s="279"/>
      <c r="C14" s="210" t="str">
        <f>IF(B14="","",VLOOKUP(B14,prezentace!A$2:E$200,5))</f>
        <v/>
      </c>
      <c r="D14" s="283"/>
      <c r="E14" s="329" t="s">
        <v>612</v>
      </c>
      <c r="F14" s="305" t="str">
        <f>IF(COUNTBLANK(D14:D15)&gt;0,"",IF(D14&gt;D15,C14,C15))</f>
        <v/>
      </c>
      <c r="G14" s="284"/>
      <c r="H14" s="297"/>
      <c r="I14" s="296"/>
      <c r="J14" s="285"/>
      <c r="K14" s="297"/>
      <c r="L14" s="296"/>
      <c r="M14" s="289"/>
      <c r="N14" s="308"/>
      <c r="O14" s="296"/>
    </row>
    <row r="15" spans="1:17" x14ac:dyDescent="0.2">
      <c r="A15" s="277" t="s">
        <v>532</v>
      </c>
      <c r="B15" s="280"/>
      <c r="C15" s="212" t="str">
        <f>IF(B15="","",VLOOKUP(B15,prezentace!A$2:E$200,5))</f>
        <v/>
      </c>
      <c r="D15" s="284"/>
      <c r="E15" s="297"/>
      <c r="F15" s="296"/>
      <c r="G15" s="285"/>
      <c r="H15" s="297"/>
      <c r="I15" s="296"/>
      <c r="J15" s="285"/>
      <c r="K15" s="297"/>
      <c r="L15" s="296"/>
      <c r="M15" s="290"/>
      <c r="N15" s="309"/>
      <c r="O15" s="296"/>
    </row>
    <row r="16" spans="1:17" x14ac:dyDescent="0.2">
      <c r="A16" s="215"/>
      <c r="B16" s="282"/>
      <c r="C16" s="211"/>
      <c r="D16" s="285"/>
      <c r="E16" s="297"/>
      <c r="F16" s="296"/>
      <c r="G16" s="285"/>
      <c r="H16" s="297"/>
      <c r="I16" s="296"/>
      <c r="J16" s="285"/>
      <c r="K16" s="297"/>
      <c r="L16" s="296"/>
      <c r="M16" s="290"/>
      <c r="N16" s="298" t="s">
        <v>325</v>
      </c>
      <c r="O16" s="299" t="str">
        <f>IF(COUNTBLANK(M10:M22)&gt;11,"",IF(M10&gt;M22,L10,L22))</f>
        <v/>
      </c>
    </row>
    <row r="17" spans="1:17" x14ac:dyDescent="0.2">
      <c r="A17" s="273" t="s">
        <v>538</v>
      </c>
      <c r="B17" s="279"/>
      <c r="C17" s="210" t="str">
        <f>IF(B17="","",VLOOKUP(B17,prezentace!A$2:E$200,5))</f>
        <v/>
      </c>
      <c r="D17" s="283"/>
      <c r="E17" s="297"/>
      <c r="F17" s="296"/>
      <c r="G17" s="285"/>
      <c r="H17" s="297"/>
      <c r="I17" s="296"/>
      <c r="J17" s="285"/>
      <c r="K17" s="297"/>
      <c r="L17" s="296"/>
      <c r="M17" s="289"/>
      <c r="N17" s="308"/>
      <c r="O17" s="296"/>
    </row>
    <row r="18" spans="1:17" x14ac:dyDescent="0.2">
      <c r="A18" s="277" t="s">
        <v>600</v>
      </c>
      <c r="B18" s="280"/>
      <c r="C18" s="212" t="str">
        <f>IF(B18="","",VLOOKUP(B18,prezentace!A$2:E$200,5))</f>
        <v/>
      </c>
      <c r="D18" s="284"/>
      <c r="E18" s="292" t="s">
        <v>612</v>
      </c>
      <c r="F18" s="304" t="str">
        <f>IF(COUNTBLANK(D17:D18)&gt;0,"",IF(D17&gt;D18,C17,C18))</f>
        <v/>
      </c>
      <c r="G18" s="283"/>
      <c r="H18" s="297"/>
      <c r="I18" s="296"/>
      <c r="J18" s="285"/>
      <c r="K18" s="297"/>
      <c r="L18" s="296"/>
      <c r="M18" s="289"/>
      <c r="N18" s="308"/>
      <c r="O18" s="296"/>
    </row>
    <row r="19" spans="1:17" x14ac:dyDescent="0.2">
      <c r="A19" s="213"/>
      <c r="B19" s="281"/>
      <c r="C19" s="211"/>
      <c r="D19" s="285"/>
      <c r="E19" s="297"/>
      <c r="F19" s="296"/>
      <c r="G19" s="287"/>
      <c r="H19" s="327" t="s">
        <v>309</v>
      </c>
      <c r="I19" s="304" t="str">
        <f>IF(COUNTBLANK(G18:G20)&gt;1,"",IF(G18&gt;G20,F18,F20))</f>
        <v/>
      </c>
      <c r="J19" s="283"/>
      <c r="K19" s="297"/>
      <c r="L19" s="296"/>
      <c r="M19" s="287"/>
      <c r="N19" s="297"/>
      <c r="O19" s="296"/>
    </row>
    <row r="20" spans="1:17" x14ac:dyDescent="0.2">
      <c r="A20" s="273" t="s">
        <v>609</v>
      </c>
      <c r="B20" s="279"/>
      <c r="C20" s="210" t="str">
        <f>IF(B20="","",VLOOKUP(B20,prezentace!A$2:E$200,5))</f>
        <v/>
      </c>
      <c r="D20" s="283"/>
      <c r="E20" s="329" t="s">
        <v>612</v>
      </c>
      <c r="F20" s="305" t="str">
        <f>IF(COUNTBLANK(D20:D21)&gt;0,"",IF(D20&gt;D21,C20,C21))</f>
        <v/>
      </c>
      <c r="G20" s="284"/>
      <c r="H20" s="328"/>
      <c r="I20" s="296"/>
      <c r="J20" s="287"/>
      <c r="K20" s="297"/>
      <c r="L20" s="296"/>
      <c r="M20" s="289"/>
      <c r="N20" s="308"/>
      <c r="O20" s="296"/>
    </row>
    <row r="21" spans="1:17" x14ac:dyDescent="0.2">
      <c r="A21" s="277" t="s">
        <v>610</v>
      </c>
      <c r="B21" s="280"/>
      <c r="C21" s="212" t="str">
        <f>IF(B21="","",VLOOKUP(B21,prezentace!A$2:E$200,5))</f>
        <v/>
      </c>
      <c r="D21" s="284"/>
      <c r="E21" s="297"/>
      <c r="F21" s="296"/>
      <c r="G21" s="285"/>
      <c r="H21" s="297"/>
      <c r="I21" s="296"/>
      <c r="J21" s="287"/>
      <c r="K21" s="328"/>
      <c r="L21" s="296"/>
      <c r="M21" s="289"/>
      <c r="N21" s="308"/>
      <c r="O21" s="296"/>
    </row>
    <row r="22" spans="1:17" x14ac:dyDescent="0.2">
      <c r="A22" s="215"/>
      <c r="B22" s="282"/>
      <c r="C22" s="211"/>
      <c r="D22" s="285"/>
      <c r="E22" s="297"/>
      <c r="F22" s="296"/>
      <c r="G22" s="285"/>
      <c r="H22" s="297"/>
      <c r="I22" s="296"/>
      <c r="J22" s="287"/>
      <c r="K22" s="329" t="s">
        <v>321</v>
      </c>
      <c r="L22" s="305" t="str">
        <f>IF(COUNTBLANK(J19:J25)&gt;5,"",IF(J19&gt;J25,I19,I25))</f>
        <v/>
      </c>
      <c r="M22" s="284"/>
      <c r="N22" s="297"/>
      <c r="O22" s="296"/>
    </row>
    <row r="23" spans="1:17" x14ac:dyDescent="0.2">
      <c r="A23" s="273" t="s">
        <v>533</v>
      </c>
      <c r="B23" s="279"/>
      <c r="C23" s="210" t="str">
        <f>IF(B23="","",VLOOKUP(B23,prezentace!A$2:E$200,5))</f>
        <v/>
      </c>
      <c r="D23" s="283"/>
      <c r="E23" s="297"/>
      <c r="F23" s="296"/>
      <c r="G23" s="285"/>
      <c r="H23" s="297"/>
      <c r="I23" s="296"/>
      <c r="J23" s="287"/>
      <c r="K23" s="297"/>
      <c r="L23" s="296"/>
      <c r="M23" s="291"/>
      <c r="N23" s="308"/>
      <c r="O23" s="296"/>
    </row>
    <row r="24" spans="1:17" x14ac:dyDescent="0.2">
      <c r="A24" s="277" t="s">
        <v>521</v>
      </c>
      <c r="B24" s="280"/>
      <c r="C24" s="212" t="str">
        <f>IF(B24="","",VLOOKUP(B24,prezentace!A$2:E$200,5))</f>
        <v/>
      </c>
      <c r="D24" s="284"/>
      <c r="E24" s="292" t="s">
        <v>612</v>
      </c>
      <c r="F24" s="304" t="str">
        <f>IF(COUNTBLANK(D23:D24)&gt;0,"",IF(D23&gt;D24,C23,C24))</f>
        <v/>
      </c>
      <c r="G24" s="283"/>
      <c r="H24" s="328"/>
      <c r="I24" s="296"/>
      <c r="J24" s="287"/>
      <c r="K24" s="297"/>
      <c r="L24" s="296"/>
      <c r="M24" s="291"/>
      <c r="N24" s="308"/>
      <c r="O24" s="296"/>
      <c r="P24" s="274"/>
      <c r="Q24" s="275"/>
    </row>
    <row r="25" spans="1:17" x14ac:dyDescent="0.2">
      <c r="A25" s="213"/>
      <c r="B25" s="281"/>
      <c r="C25" s="211"/>
      <c r="D25" s="285"/>
      <c r="E25" s="297"/>
      <c r="F25" s="296"/>
      <c r="G25" s="287"/>
      <c r="H25" s="329" t="s">
        <v>309</v>
      </c>
      <c r="I25" s="305" t="str">
        <f>IF(COUNTBLANK(G24:G26)&gt;1,"",IF(G24&gt;G26,F24,F26))</f>
        <v/>
      </c>
      <c r="J25" s="284"/>
      <c r="K25" s="297"/>
      <c r="L25" s="303"/>
      <c r="M25" s="291"/>
      <c r="N25" s="308"/>
      <c r="O25" s="296"/>
      <c r="P25" s="274"/>
    </row>
    <row r="26" spans="1:17" x14ac:dyDescent="0.2">
      <c r="A26" s="273" t="s">
        <v>600</v>
      </c>
      <c r="B26" s="279"/>
      <c r="C26" s="210" t="str">
        <f>IF(B26="","",VLOOKUP(B26,prezentace!A$2:E$200,5))</f>
        <v/>
      </c>
      <c r="D26" s="283"/>
      <c r="E26" s="329" t="s">
        <v>612</v>
      </c>
      <c r="F26" s="305" t="str">
        <f>IF(COUNTBLANK(D26:D27)&gt;0,"",IF(D26&gt;D27,C26,C27))</f>
        <v/>
      </c>
      <c r="G26" s="284"/>
      <c r="H26" s="297"/>
      <c r="I26" s="296"/>
      <c r="J26" s="285"/>
      <c r="K26" s="297"/>
      <c r="L26" s="296"/>
      <c r="M26" s="291"/>
      <c r="N26" s="308"/>
      <c r="O26" s="296"/>
      <c r="P26" s="274"/>
    </row>
    <row r="27" spans="1:17" x14ac:dyDescent="0.2">
      <c r="A27" s="277" t="s">
        <v>526</v>
      </c>
      <c r="B27" s="280"/>
      <c r="C27" s="212" t="str">
        <f>IF(B27="","",VLOOKUP(B27,prezentace!A$2:E$200,5))</f>
        <v/>
      </c>
      <c r="D27" s="284"/>
      <c r="E27" s="297"/>
      <c r="F27" s="296"/>
      <c r="G27" s="285"/>
      <c r="H27" s="297"/>
      <c r="I27" s="296"/>
      <c r="J27" s="285"/>
      <c r="K27" s="297"/>
      <c r="L27" s="296"/>
      <c r="M27" s="285"/>
      <c r="N27" s="297"/>
      <c r="O27" s="296"/>
      <c r="P27" s="274"/>
    </row>
    <row r="28" spans="1:17" x14ac:dyDescent="0.2">
      <c r="A28" s="276"/>
      <c r="B28" s="216"/>
      <c r="C28" s="217"/>
      <c r="D28" s="286"/>
      <c r="E28" s="306"/>
      <c r="F28" s="307"/>
      <c r="G28" s="288"/>
      <c r="H28" s="301"/>
      <c r="I28" s="302"/>
      <c r="J28" s="285"/>
      <c r="K28" s="297"/>
      <c r="L28" s="296"/>
      <c r="M28" s="291"/>
      <c r="N28" s="308"/>
      <c r="O28" s="296"/>
      <c r="P28" s="274"/>
    </row>
    <row r="29" spans="1:17" x14ac:dyDescent="0.2">
      <c r="D29" s="294"/>
      <c r="E29" s="300"/>
      <c r="F29" s="300"/>
      <c r="G29" s="294"/>
      <c r="H29" s="300"/>
      <c r="I29" s="300"/>
      <c r="J29" s="285"/>
      <c r="K29" s="297"/>
      <c r="L29" s="296"/>
      <c r="M29" s="294"/>
      <c r="N29" s="300"/>
      <c r="O29" s="300"/>
    </row>
  </sheetData>
  <mergeCells count="7">
    <mergeCell ref="A1:O1"/>
    <mergeCell ref="A2:O2"/>
    <mergeCell ref="A4:D4"/>
    <mergeCell ref="E4:G4"/>
    <mergeCell ref="H4:J4"/>
    <mergeCell ref="K4:M4"/>
    <mergeCell ref="N4:O4"/>
  </mergeCells>
  <pageMargins left="0.78740157480314965" right="0.39370078740157483" top="0.39370078740157483" bottom="0"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41</vt:i4>
      </vt:variant>
      <vt:variant>
        <vt:lpstr>Pojmenované oblasti</vt:lpstr>
      </vt:variant>
      <vt:variant>
        <vt:i4>47</vt:i4>
      </vt:variant>
    </vt:vector>
  </HeadingPairs>
  <TitlesOfParts>
    <vt:vector size="88" baseType="lpstr">
      <vt:lpstr>prezentace</vt:lpstr>
      <vt:lpstr>1-los</vt:lpstr>
      <vt:lpstr>1-zapasy</vt:lpstr>
      <vt:lpstr>1-tabulky</vt:lpstr>
      <vt:lpstr>1-lístky</vt:lpstr>
      <vt:lpstr>1-lístky-volne</vt:lpstr>
      <vt:lpstr>A-12H-pavouk</vt:lpstr>
      <vt:lpstr>A-12H-lístky</vt:lpstr>
      <vt:lpstr>A-12D-pavouk</vt:lpstr>
      <vt:lpstr>A-12D-lístky</vt:lpstr>
      <vt:lpstr>A-16H-pavouk</vt:lpstr>
      <vt:lpstr>A-16H-lístky</vt:lpstr>
      <vt:lpstr>A-16D-pavouk</vt:lpstr>
      <vt:lpstr>A-16D-lístky</vt:lpstr>
      <vt:lpstr>B-8H-pavouk</vt:lpstr>
      <vt:lpstr>B-8H-lístky</vt:lpstr>
      <vt:lpstr>B-8D-pavouk</vt:lpstr>
      <vt:lpstr>B-8D-lístky</vt:lpstr>
      <vt:lpstr>B-16H-pavouk</vt:lpstr>
      <vt:lpstr>B-16H-lístky</vt:lpstr>
      <vt:lpstr>B-16D-pavouk</vt:lpstr>
      <vt:lpstr>B-16D-lístky</vt:lpstr>
      <vt:lpstr>B-32H-pavouk</vt:lpstr>
      <vt:lpstr>B-32H-lístky</vt:lpstr>
      <vt:lpstr>B-32D-pavouk</vt:lpstr>
      <vt:lpstr>B-32D-lístky</vt:lpstr>
      <vt:lpstr>Volne-lístky</vt:lpstr>
      <vt:lpstr>2-los</vt:lpstr>
      <vt:lpstr>2-zapasy</vt:lpstr>
      <vt:lpstr>2-lístky</vt:lpstr>
      <vt:lpstr>3-los</vt:lpstr>
      <vt:lpstr>3-zapasy</vt:lpstr>
      <vt:lpstr>3-lístky</vt:lpstr>
      <vt:lpstr>4-zapasy</vt:lpstr>
      <vt:lpstr>4-pavouk</vt:lpstr>
      <vt:lpstr>4-lístky</vt:lpstr>
      <vt:lpstr>pořadí</vt:lpstr>
      <vt:lpstr>TIMING</vt:lpstr>
      <vt:lpstr>calc1</vt:lpstr>
      <vt:lpstr>calc3</vt:lpstr>
      <vt:lpstr>Bergerovy tabulky</vt:lpstr>
      <vt:lpstr>'3-los'!Groups</vt:lpstr>
      <vt:lpstr>'1-lístky'!Oblast_tisku</vt:lpstr>
      <vt:lpstr>'1-lístky-volne'!Oblast_tisku</vt:lpstr>
      <vt:lpstr>'1-los'!Oblast_tisku</vt:lpstr>
      <vt:lpstr>'1-tabulky'!Oblast_tisku</vt:lpstr>
      <vt:lpstr>'1-zapasy'!Oblast_tisku</vt:lpstr>
      <vt:lpstr>'2-los'!Oblast_tisku</vt:lpstr>
      <vt:lpstr>'2-zapasy'!Oblast_tisku</vt:lpstr>
      <vt:lpstr>'3-los'!Oblast_tisku</vt:lpstr>
      <vt:lpstr>'3-zapasy'!Oblast_tisku</vt:lpstr>
      <vt:lpstr>'4-pavouk'!Oblast_tisku</vt:lpstr>
      <vt:lpstr>'4-zapasy'!Oblast_tisku</vt:lpstr>
      <vt:lpstr>'A-12D-lístky'!Oblast_tisku</vt:lpstr>
      <vt:lpstr>'A-12D-pavouk'!Oblast_tisku</vt:lpstr>
      <vt:lpstr>'A-12H-lístky'!Oblast_tisku</vt:lpstr>
      <vt:lpstr>'A-12H-pavouk'!Oblast_tisku</vt:lpstr>
      <vt:lpstr>'A-16D-lístky'!Oblast_tisku</vt:lpstr>
      <vt:lpstr>'A-16D-pavouk'!Oblast_tisku</vt:lpstr>
      <vt:lpstr>'A-16H-lístky'!Oblast_tisku</vt:lpstr>
      <vt:lpstr>'A-16H-pavouk'!Oblast_tisku</vt:lpstr>
      <vt:lpstr>'B-16D-lístky'!Oblast_tisku</vt:lpstr>
      <vt:lpstr>'B-16D-pavouk'!Oblast_tisku</vt:lpstr>
      <vt:lpstr>'B-16H-lístky'!Oblast_tisku</vt:lpstr>
      <vt:lpstr>'B-16H-pavouk'!Oblast_tisku</vt:lpstr>
      <vt:lpstr>'B-32D-lístky'!Oblast_tisku</vt:lpstr>
      <vt:lpstr>'B-32D-pavouk'!Oblast_tisku</vt:lpstr>
      <vt:lpstr>'B-32H-lístky'!Oblast_tisku</vt:lpstr>
      <vt:lpstr>'B-32H-pavouk'!Oblast_tisku</vt:lpstr>
      <vt:lpstr>'B-8D-lístky'!Oblast_tisku</vt:lpstr>
      <vt:lpstr>'B-8D-pavouk'!Oblast_tisku</vt:lpstr>
      <vt:lpstr>'B-8H-lístky'!Oblast_tisku</vt:lpstr>
      <vt:lpstr>'B-8H-pavouk'!Oblast_tisku</vt:lpstr>
      <vt:lpstr>pořadí!Oblast_tisku</vt:lpstr>
      <vt:lpstr>prezentace!Oblast_tisku</vt:lpstr>
      <vt:lpstr>'Volne-lístky'!Oblast_tisku</vt:lpstr>
      <vt:lpstr>'3-zapasy'!TABLE</vt:lpstr>
      <vt:lpstr>'3-zapasy'!TABLE_12</vt:lpstr>
      <vt:lpstr>'3-zapasy'!TABLE_13</vt:lpstr>
      <vt:lpstr>'3-zapasy'!TABLE_14</vt:lpstr>
      <vt:lpstr>'3-zapasy'!TABLE_15</vt:lpstr>
      <vt:lpstr>'3-zapasy'!TABLE_16</vt:lpstr>
      <vt:lpstr>'3-zapasy'!TABLE_17</vt:lpstr>
      <vt:lpstr>'3-zapasy'!TABLE_18</vt:lpstr>
      <vt:lpstr>'3-zapasy'!TABLE_6</vt:lpstr>
      <vt:lpstr>'3-zapasy'!TABLE_7</vt:lpstr>
      <vt:lpstr>'3-zapasy'!TABLE_8</vt:lpstr>
      <vt:lpstr>'3-zapasy'!TABLE_9</vt:lpstr>
    </vt:vector>
  </TitlesOfParts>
  <Company>CCL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Milan Šimáček</dc:creator>
  <cp:keywords>C_Unrestricted</cp:keywords>
  <cp:lastModifiedBy>Kristof, Vitezslav (DI IT ERP CZ SD)</cp:lastModifiedBy>
  <cp:lastPrinted>2021-09-05T11:04:55Z</cp:lastPrinted>
  <dcterms:created xsi:type="dcterms:W3CDTF">1999-09-08T13:05:38Z</dcterms:created>
  <dcterms:modified xsi:type="dcterms:W3CDTF">2021-09-05T12:35:04Z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onfidentiality">
    <vt:lpwstr>Unrestricted</vt:lpwstr>
  </property>
  <property fmtid="{D5CDD505-2E9C-101B-9397-08002B2CF9AE}" pid="3" name="MSIP_Label_6f75f480-7803-4ee9-bb54-84d0635fdbe7_Enabled">
    <vt:lpwstr>true</vt:lpwstr>
  </property>
  <property fmtid="{D5CDD505-2E9C-101B-9397-08002B2CF9AE}" pid="4" name="MSIP_Label_6f75f480-7803-4ee9-bb54-84d0635fdbe7_SetDate">
    <vt:lpwstr>2021-08-23T10:25:01Z</vt:lpwstr>
  </property>
  <property fmtid="{D5CDD505-2E9C-101B-9397-08002B2CF9AE}" pid="5" name="MSIP_Label_6f75f480-7803-4ee9-bb54-84d0635fdbe7_Method">
    <vt:lpwstr>Standard</vt:lpwstr>
  </property>
  <property fmtid="{D5CDD505-2E9C-101B-9397-08002B2CF9AE}" pid="6" name="MSIP_Label_6f75f480-7803-4ee9-bb54-84d0635fdbe7_Name">
    <vt:lpwstr>unrestricted</vt:lpwstr>
  </property>
  <property fmtid="{D5CDD505-2E9C-101B-9397-08002B2CF9AE}" pid="7" name="MSIP_Label_6f75f480-7803-4ee9-bb54-84d0635fdbe7_SiteId">
    <vt:lpwstr>38ae3bcd-9579-4fd4-adda-b42e1495d55a</vt:lpwstr>
  </property>
  <property fmtid="{D5CDD505-2E9C-101B-9397-08002B2CF9AE}" pid="8" name="MSIP_Label_6f75f480-7803-4ee9-bb54-84d0635fdbe7_ActionId">
    <vt:lpwstr>d49407aa-b9b3-42ff-9605-6c7c8dfb988b</vt:lpwstr>
  </property>
  <property fmtid="{D5CDD505-2E9C-101B-9397-08002B2CF9AE}" pid="9" name="MSIP_Label_6f75f480-7803-4ee9-bb54-84d0635fdbe7_ContentBits">
    <vt:lpwstr>0</vt:lpwstr>
  </property>
  <property fmtid="{D5CDD505-2E9C-101B-9397-08002B2CF9AE}" pid="10" name="Document_Confidentiality">
    <vt:lpwstr>Unrestricted</vt:lpwstr>
  </property>
</Properties>
</file>